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30" windowHeight="8790"/>
  </bookViews>
  <sheets>
    <sheet name="Sheet1" sheetId="1" r:id="rId1"/>
    <sheet name="Sheet2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T38" i="1" l="1"/>
  <c r="T36" i="1"/>
  <c r="T31" i="1"/>
  <c r="U31" i="1" s="1"/>
  <c r="T28" i="1"/>
  <c r="T19" i="1"/>
  <c r="T26" i="1"/>
  <c r="T25" i="1"/>
  <c r="T13" i="1"/>
  <c r="T42" i="1"/>
  <c r="W42" i="1" l="1"/>
  <c r="T18" i="1"/>
  <c r="W18" i="1"/>
  <c r="T23" i="1" l="1"/>
  <c r="H23" i="1" l="1"/>
  <c r="H13" i="1"/>
  <c r="T41" i="1" l="1"/>
  <c r="AC43" i="1" l="1"/>
  <c r="AC42" i="1"/>
  <c r="Z44" i="1"/>
  <c r="T39" i="1"/>
  <c r="H39" i="1"/>
  <c r="N37" i="1"/>
  <c r="AF29" i="1"/>
  <c r="N25" i="1"/>
  <c r="N22" i="1"/>
  <c r="N21" i="1"/>
  <c r="N13" i="1"/>
  <c r="Z42" i="1" l="1"/>
  <c r="W32" i="1"/>
  <c r="N28" i="1"/>
  <c r="H26" i="1"/>
  <c r="T24" i="1"/>
  <c r="W24" i="1"/>
  <c r="W23" i="1"/>
  <c r="N23" i="1"/>
  <c r="T22" i="1"/>
  <c r="W16" i="1"/>
  <c r="W14" i="1"/>
  <c r="AI42" i="1" l="1"/>
  <c r="W40" i="1"/>
  <c r="H33" i="1"/>
  <c r="T32" i="1"/>
  <c r="H32" i="1"/>
  <c r="W28" i="1"/>
  <c r="Z21" i="1"/>
  <c r="T17" i="1"/>
  <c r="N19" i="1"/>
  <c r="W36" i="1"/>
  <c r="W26" i="1"/>
  <c r="N24" i="1"/>
  <c r="Z13" i="1"/>
  <c r="W21" i="1" l="1"/>
  <c r="H19" i="1"/>
  <c r="N18" i="1"/>
  <c r="T14" i="1"/>
  <c r="T40" i="1" l="1"/>
  <c r="T33" i="1"/>
  <c r="W30" i="1"/>
  <c r="N30" i="1"/>
  <c r="W35" i="1" l="1"/>
  <c r="W22" i="1"/>
  <c r="W13" i="1"/>
  <c r="N39" i="1"/>
  <c r="N38" i="1"/>
  <c r="N36" i="1"/>
  <c r="N31" i="1"/>
  <c r="N29" i="1"/>
  <c r="T29" i="1" l="1"/>
  <c r="H18" i="1"/>
  <c r="W17" i="1"/>
  <c r="N26" i="1" l="1"/>
  <c r="W25" i="1" l="1"/>
  <c r="W34" i="1" l="1"/>
  <c r="N32" i="1"/>
  <c r="Z16" i="1"/>
  <c r="H22" i="1" l="1"/>
  <c r="T30" i="1" l="1"/>
  <c r="Z27" i="1" l="1"/>
  <c r="J43" i="1" l="1"/>
  <c r="D43" i="1" s="1"/>
  <c r="W31" i="1" l="1"/>
  <c r="W20" i="1"/>
  <c r="Z26" i="1" l="1"/>
  <c r="W15" i="1"/>
  <c r="Z38" i="1" l="1"/>
  <c r="W38" i="1"/>
  <c r="Z25" i="1"/>
  <c r="Z23" i="1"/>
  <c r="Z34" i="1" l="1"/>
  <c r="W27" i="1"/>
  <c r="H37" i="1" l="1"/>
  <c r="Z18" i="1"/>
  <c r="N16" i="1"/>
  <c r="N34" i="1" l="1"/>
  <c r="N33" i="1"/>
  <c r="N27" i="1"/>
  <c r="T34" i="1" l="1"/>
  <c r="H34" i="1" l="1"/>
  <c r="AF23" i="1" l="1"/>
  <c r="N35" i="1" l="1"/>
  <c r="Z22" i="1" l="1"/>
  <c r="T37" i="1" l="1"/>
  <c r="W33" i="1"/>
  <c r="W39" i="1"/>
  <c r="N40" i="1" l="1"/>
  <c r="T21" i="1"/>
  <c r="T35" i="1" l="1"/>
  <c r="N20" i="1"/>
  <c r="W19" i="1"/>
  <c r="H24" i="1" l="1"/>
  <c r="W29" i="1" l="1"/>
  <c r="H36" i="1" l="1"/>
  <c r="W37" i="1" l="1"/>
  <c r="H15" i="1" l="1"/>
  <c r="T15" i="1"/>
  <c r="Q29" i="1" l="1"/>
  <c r="N15" i="1"/>
  <c r="H25" i="1" l="1"/>
  <c r="AF36" i="1" l="1"/>
  <c r="Z40" i="1" l="1"/>
  <c r="K40" i="1" s="1"/>
  <c r="E43" i="1" l="1"/>
  <c r="E42" i="1"/>
  <c r="K42" i="1"/>
  <c r="K43" i="1" l="1"/>
  <c r="K44" i="1"/>
  <c r="E44" i="1"/>
  <c r="AI45" i="1"/>
  <c r="J42" i="1" l="1"/>
  <c r="W41" i="1"/>
  <c r="AC45" i="1"/>
  <c r="AJ43" i="1"/>
  <c r="AJ42" i="1"/>
  <c r="D42" i="1"/>
  <c r="J25" i="1"/>
  <c r="D25" i="1" s="1"/>
  <c r="J36" i="1"/>
  <c r="D36" i="1" s="1"/>
  <c r="J22" i="1"/>
  <c r="D22" i="1" s="1"/>
  <c r="O21" i="1"/>
  <c r="O28" i="1"/>
  <c r="O29" i="1"/>
  <c r="J33" i="1"/>
  <c r="D33" i="1" s="1"/>
  <c r="O32" i="1"/>
  <c r="O34" i="1"/>
  <c r="Y41" i="1"/>
  <c r="Y45" i="1" s="1"/>
  <c r="Z41" i="1"/>
  <c r="Z45" i="1" s="1"/>
  <c r="AD43" i="1"/>
  <c r="J14" i="1"/>
  <c r="D14" i="1" s="1"/>
  <c r="K14" i="1"/>
  <c r="E14" i="1" s="1"/>
  <c r="O14" i="1"/>
  <c r="U14" i="1"/>
  <c r="X14" i="1"/>
  <c r="AA14" i="1"/>
  <c r="AG14" i="1"/>
  <c r="I15" i="1"/>
  <c r="J15" i="1"/>
  <c r="D15" i="1" s="1"/>
  <c r="K15" i="1"/>
  <c r="E15" i="1" s="1"/>
  <c r="O15" i="1"/>
  <c r="U15" i="1"/>
  <c r="X15" i="1"/>
  <c r="AA15" i="1"/>
  <c r="I16" i="1"/>
  <c r="J16" i="1"/>
  <c r="D16" i="1" s="1"/>
  <c r="K16" i="1"/>
  <c r="E16" i="1" s="1"/>
  <c r="O16" i="1"/>
  <c r="U16" i="1"/>
  <c r="X16" i="1"/>
  <c r="AA16" i="1"/>
  <c r="I17" i="1"/>
  <c r="J17" i="1"/>
  <c r="D17" i="1" s="1"/>
  <c r="K17" i="1"/>
  <c r="E17" i="1" s="1"/>
  <c r="O17" i="1"/>
  <c r="U17" i="1"/>
  <c r="X17" i="1"/>
  <c r="AA17" i="1"/>
  <c r="I18" i="1"/>
  <c r="J18" i="1"/>
  <c r="D18" i="1" s="1"/>
  <c r="K18" i="1"/>
  <c r="E18" i="1" s="1"/>
  <c r="O18" i="1"/>
  <c r="R18" i="1"/>
  <c r="U18" i="1"/>
  <c r="X18" i="1"/>
  <c r="AA18" i="1"/>
  <c r="AG18" i="1"/>
  <c r="I19" i="1"/>
  <c r="J19" i="1"/>
  <c r="D19" i="1" s="1"/>
  <c r="K19" i="1"/>
  <c r="E19" i="1" s="1"/>
  <c r="O19" i="1"/>
  <c r="R19" i="1"/>
  <c r="U19" i="1"/>
  <c r="X19" i="1"/>
  <c r="AA19" i="1"/>
  <c r="J20" i="1"/>
  <c r="D20" i="1" s="1"/>
  <c r="K20" i="1"/>
  <c r="E20" i="1" s="1"/>
  <c r="O20" i="1"/>
  <c r="U20" i="1"/>
  <c r="X20" i="1"/>
  <c r="AA20" i="1"/>
  <c r="I21" i="1"/>
  <c r="K21" i="1"/>
  <c r="E21" i="1" s="1"/>
  <c r="R21" i="1"/>
  <c r="U21" i="1"/>
  <c r="X21" i="1"/>
  <c r="AA21" i="1"/>
  <c r="AG21" i="1"/>
  <c r="I22" i="1"/>
  <c r="K22" i="1"/>
  <c r="E22" i="1" s="1"/>
  <c r="R22" i="1"/>
  <c r="U22" i="1"/>
  <c r="X22" i="1"/>
  <c r="AA22" i="1"/>
  <c r="AG22" i="1"/>
  <c r="I23" i="1"/>
  <c r="J23" i="1"/>
  <c r="D23" i="1" s="1"/>
  <c r="K23" i="1"/>
  <c r="E23" i="1" s="1"/>
  <c r="O23" i="1"/>
  <c r="R23" i="1"/>
  <c r="U23" i="1"/>
  <c r="X23" i="1"/>
  <c r="AA23" i="1"/>
  <c r="AG23" i="1"/>
  <c r="I24" i="1"/>
  <c r="J24" i="1"/>
  <c r="D24" i="1" s="1"/>
  <c r="K24" i="1"/>
  <c r="E24" i="1" s="1"/>
  <c r="O24" i="1"/>
  <c r="R24" i="1"/>
  <c r="U24" i="1"/>
  <c r="X24" i="1"/>
  <c r="AA24" i="1"/>
  <c r="AG24" i="1"/>
  <c r="I25" i="1"/>
  <c r="K25" i="1"/>
  <c r="E25" i="1" s="1"/>
  <c r="R25" i="1"/>
  <c r="U25" i="1"/>
  <c r="X25" i="1"/>
  <c r="AA25" i="1"/>
  <c r="AG25" i="1"/>
  <c r="I26" i="1"/>
  <c r="J26" i="1"/>
  <c r="D26" i="1" s="1"/>
  <c r="K26" i="1"/>
  <c r="O26" i="1"/>
  <c r="R26" i="1"/>
  <c r="U26" i="1"/>
  <c r="X26" i="1"/>
  <c r="AA26" i="1"/>
  <c r="AG26" i="1"/>
  <c r="I27" i="1"/>
  <c r="J27" i="1"/>
  <c r="D27" i="1" s="1"/>
  <c r="K27" i="1"/>
  <c r="E27" i="1" s="1"/>
  <c r="O27" i="1"/>
  <c r="R27" i="1"/>
  <c r="U27" i="1"/>
  <c r="X27" i="1"/>
  <c r="AA27" i="1"/>
  <c r="I28" i="1"/>
  <c r="K28" i="1"/>
  <c r="E28" i="1" s="1"/>
  <c r="R28" i="1"/>
  <c r="U28" i="1"/>
  <c r="X28" i="1"/>
  <c r="AA28" i="1"/>
  <c r="AG28" i="1"/>
  <c r="I29" i="1"/>
  <c r="K29" i="1"/>
  <c r="E29" i="1" s="1"/>
  <c r="R29" i="1"/>
  <c r="U29" i="1"/>
  <c r="X29" i="1"/>
  <c r="AA29" i="1"/>
  <c r="AG29" i="1"/>
  <c r="I30" i="1"/>
  <c r="J30" i="1"/>
  <c r="D30" i="1" s="1"/>
  <c r="K30" i="1"/>
  <c r="E30" i="1" s="1"/>
  <c r="O30" i="1"/>
  <c r="R30" i="1"/>
  <c r="U30" i="1"/>
  <c r="X30" i="1"/>
  <c r="AA30" i="1"/>
  <c r="AG30" i="1"/>
  <c r="I31" i="1"/>
  <c r="J31" i="1"/>
  <c r="D31" i="1" s="1"/>
  <c r="K31" i="1"/>
  <c r="E31" i="1" s="1"/>
  <c r="O31" i="1"/>
  <c r="R31" i="1"/>
  <c r="X31" i="1"/>
  <c r="AA31" i="1"/>
  <c r="AG31" i="1"/>
  <c r="I32" i="1"/>
  <c r="K32" i="1"/>
  <c r="E32" i="1" s="1"/>
  <c r="R32" i="1"/>
  <c r="U32" i="1"/>
  <c r="X32" i="1"/>
  <c r="AA32" i="1"/>
  <c r="AG32" i="1"/>
  <c r="I33" i="1"/>
  <c r="K33" i="1"/>
  <c r="E33" i="1" s="1"/>
  <c r="R33" i="1"/>
  <c r="U33" i="1"/>
  <c r="X33" i="1"/>
  <c r="AA33" i="1"/>
  <c r="AG33" i="1"/>
  <c r="I34" i="1"/>
  <c r="K34" i="1"/>
  <c r="E34" i="1" s="1"/>
  <c r="R34" i="1"/>
  <c r="U34" i="1"/>
  <c r="X34" i="1"/>
  <c r="AA34" i="1"/>
  <c r="AG34" i="1"/>
  <c r="J35" i="1"/>
  <c r="D35" i="1" s="1"/>
  <c r="K35" i="1"/>
  <c r="E35" i="1" s="1"/>
  <c r="O35" i="1"/>
  <c r="U35" i="1"/>
  <c r="X35" i="1"/>
  <c r="AA35" i="1"/>
  <c r="AG35" i="1"/>
  <c r="I36" i="1"/>
  <c r="K36" i="1"/>
  <c r="E36" i="1" s="1"/>
  <c r="U36" i="1"/>
  <c r="X36" i="1"/>
  <c r="AA36" i="1"/>
  <c r="AG36" i="1"/>
  <c r="I37" i="1"/>
  <c r="J37" i="1"/>
  <c r="D37" i="1" s="1"/>
  <c r="K37" i="1"/>
  <c r="E37" i="1" s="1"/>
  <c r="O37" i="1"/>
  <c r="R37" i="1"/>
  <c r="U37" i="1"/>
  <c r="X37" i="1"/>
  <c r="AA37" i="1"/>
  <c r="AG37" i="1"/>
  <c r="I38" i="1"/>
  <c r="J38" i="1"/>
  <c r="D38" i="1" s="1"/>
  <c r="K38" i="1"/>
  <c r="E38" i="1" s="1"/>
  <c r="O38" i="1"/>
  <c r="R38" i="1"/>
  <c r="U38" i="1"/>
  <c r="X38" i="1"/>
  <c r="AA38" i="1"/>
  <c r="AG38" i="1"/>
  <c r="I39" i="1"/>
  <c r="J39" i="1"/>
  <c r="D39" i="1" s="1"/>
  <c r="K39" i="1"/>
  <c r="E39" i="1" s="1"/>
  <c r="O39" i="1"/>
  <c r="R39" i="1"/>
  <c r="U39" i="1"/>
  <c r="X39" i="1"/>
  <c r="AA39" i="1"/>
  <c r="AG39" i="1"/>
  <c r="J40" i="1"/>
  <c r="D40" i="1" s="1"/>
  <c r="E40" i="1"/>
  <c r="O40" i="1"/>
  <c r="U40" i="1"/>
  <c r="X40" i="1"/>
  <c r="AA40" i="1"/>
  <c r="AG40" i="1"/>
  <c r="K13" i="1"/>
  <c r="E13" i="1" s="1"/>
  <c r="E26" i="1" l="1"/>
  <c r="F26" i="1" s="1"/>
  <c r="K41" i="1"/>
  <c r="O33" i="1"/>
  <c r="J29" i="1"/>
  <c r="D29" i="1" s="1"/>
  <c r="F29" i="1" s="1"/>
  <c r="O25" i="1"/>
  <c r="J21" i="1"/>
  <c r="D21" i="1" s="1"/>
  <c r="O36" i="1"/>
  <c r="J32" i="1"/>
  <c r="D32" i="1" s="1"/>
  <c r="F32" i="1" s="1"/>
  <c r="J28" i="1"/>
  <c r="D28" i="1" s="1"/>
  <c r="O22" i="1"/>
  <c r="J34" i="1"/>
  <c r="D34" i="1" s="1"/>
  <c r="F34" i="1" s="1"/>
  <c r="F24" i="1"/>
  <c r="F28" i="1"/>
  <c r="L36" i="1"/>
  <c r="F36" i="1"/>
  <c r="L16" i="1"/>
  <c r="L40" i="1"/>
  <c r="F37" i="1"/>
  <c r="F30" i="1"/>
  <c r="F22" i="1"/>
  <c r="L20" i="1"/>
  <c r="L17" i="1"/>
  <c r="F38" i="1"/>
  <c r="F20" i="1"/>
  <c r="F17" i="1"/>
  <c r="F14" i="1"/>
  <c r="F40" i="1"/>
  <c r="F33" i="1"/>
  <c r="F25" i="1"/>
  <c r="F21" i="1"/>
  <c r="F18" i="1"/>
  <c r="F16" i="1"/>
  <c r="L24" i="1"/>
  <c r="L21" i="1"/>
  <c r="L25" i="1"/>
  <c r="L33" i="1"/>
  <c r="L37" i="1"/>
  <c r="F39" i="1"/>
  <c r="F31" i="1"/>
  <c r="F23" i="1"/>
  <c r="F15" i="1"/>
  <c r="F35" i="1"/>
  <c r="F27" i="1"/>
  <c r="F19" i="1"/>
  <c r="L39" i="1"/>
  <c r="L35" i="1"/>
  <c r="L31" i="1"/>
  <c r="L27" i="1"/>
  <c r="L23" i="1"/>
  <c r="L19" i="1"/>
  <c r="L15" i="1"/>
  <c r="L38" i="1"/>
  <c r="L30" i="1"/>
  <c r="L26" i="1"/>
  <c r="L22" i="1"/>
  <c r="L18" i="1"/>
  <c r="L14" i="1"/>
  <c r="K45" i="1" l="1"/>
  <c r="L32" i="1"/>
  <c r="L29" i="1"/>
  <c r="L28" i="1"/>
  <c r="L34" i="1"/>
  <c r="O13" i="1"/>
  <c r="N41" i="1" l="1"/>
  <c r="N45" i="1" l="1"/>
  <c r="Q41" i="1" l="1"/>
  <c r="Q45" i="1" s="1"/>
  <c r="AF41" i="1" l="1"/>
  <c r="AF45" i="1" s="1"/>
  <c r="J44" i="1" l="1"/>
  <c r="D44" i="1" s="1"/>
  <c r="L44" i="1" l="1"/>
  <c r="L43" i="1"/>
  <c r="AG13" i="1" l="1"/>
  <c r="AD42" i="1"/>
  <c r="AA13" i="1"/>
  <c r="X13" i="1"/>
  <c r="U13" i="1"/>
  <c r="R13" i="1"/>
  <c r="I13" i="1"/>
  <c r="L42" i="1"/>
  <c r="X42" i="1" l="1"/>
  <c r="AA44" i="1"/>
  <c r="U42" i="1"/>
  <c r="AA42" i="1"/>
  <c r="AA43" i="1"/>
  <c r="H41" i="1" l="1"/>
  <c r="E41" i="1" s="1"/>
  <c r="E45" i="1" s="1"/>
  <c r="H45" i="1" l="1"/>
  <c r="AB45" i="1"/>
  <c r="F43" i="1"/>
  <c r="G41" i="1"/>
  <c r="V41" i="1"/>
  <c r="V45" i="1" s="1"/>
  <c r="S41" i="1"/>
  <c r="S45" i="1" s="1"/>
  <c r="P41" i="1"/>
  <c r="P45" i="1" s="1"/>
  <c r="M41" i="1"/>
  <c r="F44" i="1"/>
  <c r="AE41" i="1"/>
  <c r="AG41" i="1" s="1"/>
  <c r="J41" i="1" l="1"/>
  <c r="D41" i="1" s="1"/>
  <c r="D45" i="1" s="1"/>
  <c r="G45" i="1"/>
  <c r="I41" i="1"/>
  <c r="AE45" i="1"/>
  <c r="AG45" i="1" s="1"/>
  <c r="AA41" i="1"/>
  <c r="AD45" i="1"/>
  <c r="W45" i="1"/>
  <c r="X41" i="1"/>
  <c r="R41" i="1"/>
  <c r="U41" i="1"/>
  <c r="M45" i="1"/>
  <c r="I45" i="1"/>
  <c r="AA45" i="1"/>
  <c r="R45" i="1"/>
  <c r="J13" i="1"/>
  <c r="D13" i="1" s="1"/>
  <c r="J45" i="1" l="1"/>
  <c r="X45" i="1"/>
  <c r="F42" i="1"/>
  <c r="T45" i="1"/>
  <c r="O45" i="1"/>
  <c r="O41" i="1"/>
  <c r="U45" i="1" l="1"/>
  <c r="L13" i="1"/>
  <c r="F13" i="1" l="1"/>
  <c r="F41" i="1"/>
  <c r="L45" i="1" l="1"/>
  <c r="L41" i="1"/>
  <c r="E46" i="1" l="1"/>
  <c r="F46" i="1" s="1"/>
  <c r="F45" i="1" l="1"/>
</calcChain>
</file>

<file path=xl/sharedStrings.xml><?xml version="1.0" encoding="utf-8"?>
<sst xmlns="http://schemas.openxmlformats.org/spreadsheetml/2006/main" count="97" uniqueCount="66">
  <si>
    <t>CỤC THUẾ  TỈNH HÀ TĨNH</t>
  </si>
  <si>
    <t>CỘNG HÒA XÃ HỘI CHỦ NGHĨA VIỆT NAM</t>
  </si>
  <si>
    <t>CHI CỤC THUẾ HUYỆN ĐỨC THỌ</t>
  </si>
  <si>
    <t xml:space="preserve">              Độc lập - Tự do - Hạnh phúc</t>
  </si>
  <si>
    <t>Đơn vị tính: Triệu đồng</t>
  </si>
  <si>
    <t>TT</t>
  </si>
  <si>
    <t>Đơn vị</t>
  </si>
  <si>
    <t>Thuế SD đất PNN</t>
  </si>
  <si>
    <t>Lệ phí Trước bạ</t>
  </si>
  <si>
    <t>Phí và Lệ phí</t>
  </si>
  <si>
    <t>Thuế TNCN</t>
  </si>
  <si>
    <t>Tiền Thuê đất</t>
  </si>
  <si>
    <t>KH</t>
  </si>
  <si>
    <t>TH</t>
  </si>
  <si>
    <t>Thị trấn</t>
  </si>
  <si>
    <t>Đức Quang</t>
  </si>
  <si>
    <t>Đức Vĩnh</t>
  </si>
  <si>
    <t>Đức Châu</t>
  </si>
  <si>
    <t>Đức Tùng</t>
  </si>
  <si>
    <t>Liên Minh</t>
  </si>
  <si>
    <t>Đức La</t>
  </si>
  <si>
    <t>Yên Hồ</t>
  </si>
  <si>
    <t>Đức Nhân</t>
  </si>
  <si>
    <t>Tùng ảnh</t>
  </si>
  <si>
    <t>Bùi Xá</t>
  </si>
  <si>
    <t>Đức Thịnh</t>
  </si>
  <si>
    <t>Đức Yên</t>
  </si>
  <si>
    <t>Đức Thủy</t>
  </si>
  <si>
    <t>Trung Lễ</t>
  </si>
  <si>
    <t>Thái Yên</t>
  </si>
  <si>
    <t>Đức Hòa</t>
  </si>
  <si>
    <t>Đức Long</t>
  </si>
  <si>
    <t>Đức Lâm</t>
  </si>
  <si>
    <t>Đức Thanh</t>
  </si>
  <si>
    <t>Đức Dũng</t>
  </si>
  <si>
    <t>Đức Lập</t>
  </si>
  <si>
    <t>Đức An</t>
  </si>
  <si>
    <t>Đức Lạc</t>
  </si>
  <si>
    <t>Đức Đồng</t>
  </si>
  <si>
    <t>Đức Lạng</t>
  </si>
  <si>
    <t>Tổng xã</t>
  </si>
  <si>
    <t>Huyện</t>
  </si>
  <si>
    <t>NGƯỜI LẬP BIỂU</t>
  </si>
  <si>
    <t>NGƯỜI DUYỆT BIỂU</t>
  </si>
  <si>
    <t>CHI CỤC TRƯỞNG</t>
  </si>
  <si>
    <t>Phạm Minh Tuấn</t>
  </si>
  <si>
    <t>Tân Hương</t>
  </si>
  <si>
    <t>KH tỉnh</t>
  </si>
  <si>
    <t>Thu khác tại xã</t>
  </si>
  <si>
    <t>Tỷ lệ (%)</t>
  </si>
  <si>
    <t xml:space="preserve"> Tiền SD đất</t>
  </si>
  <si>
    <t>Tỉnh</t>
  </si>
  <si>
    <t>TW</t>
  </si>
  <si>
    <t>Thuế Phí</t>
  </si>
  <si>
    <t>Tổng thuế phí</t>
  </si>
  <si>
    <t>Thuế NQD</t>
  </si>
  <si>
    <t xml:space="preserve"> </t>
  </si>
  <si>
    <t>Tổng: KH huyện</t>
  </si>
  <si>
    <t>Phan Thị Hương Giang</t>
  </si>
  <si>
    <t>T Sơn</t>
  </si>
  <si>
    <t>QD</t>
  </si>
  <si>
    <t>Kế hoạch giao năm 2019</t>
  </si>
  <si>
    <t>Trần Đình Đạt</t>
  </si>
  <si>
    <t>BIỂU TỔNG HỢP THU NGÂN SÁCH CỦA CÁC XÃ, THỊ TRẤN NĂM 2019</t>
  </si>
  <si>
    <t xml:space="preserve">Báo cáo đến ngày 27 tháng 03 năm 2019  </t>
  </si>
  <si>
    <t>Ngày 28 tháng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</si>
</sst>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;[Red]#,##0.0"/>
    <numFmt numFmtId="165" formatCode="_(* #,##0_);_(* \(#,##0\);_(* &quot;-&quot;??_);_(@_)"/>
    <numFmt numFmtId="166" formatCode="_(* #,##0.0_);_(* \(#,##0.0\);_(* &quot;-&quot;??_);_(@_)"/>
    <numFmt numFmtId="167" formatCode="#,##0;[Red]#,##0"/>
    <numFmt numFmtId="168" formatCode="#,##0.0"/>
    <numFmt numFmtId="169" formatCode="0.0;[Red]0.0"/>
    <numFmt numFmtId="170" formatCode="_(* #,##0.0_);_(* \(#,##0.0\);_(* &quot;-&quot;?_);_(@_)"/>
    <numFmt numFmtId="171" formatCode="0.0_);\(0.0\)"/>
    <numFmt numFmtId="172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167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49" fontId="6" fillId="0" borderId="0" xfId="0" applyNumberFormat="1" applyFont="1" applyFill="1" applyAlignment="1"/>
    <xf numFmtId="164" fontId="6" fillId="0" borderId="0" xfId="0" applyNumberFormat="1" applyFont="1" applyFill="1" applyAlignment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 applyFill="1" applyAlignment="1">
      <alignment horizontal="center"/>
    </xf>
    <xf numFmtId="166" fontId="2" fillId="0" borderId="0" xfId="1" applyNumberFormat="1" applyFont="1" applyFill="1"/>
    <xf numFmtId="166" fontId="3" fillId="0" borderId="0" xfId="1" applyNumberFormat="1" applyFont="1" applyFill="1" applyAlignment="1">
      <alignment horizontal="center"/>
    </xf>
    <xf numFmtId="166" fontId="0" fillId="0" borderId="0" xfId="1" applyNumberFormat="1" applyFont="1"/>
    <xf numFmtId="166" fontId="7" fillId="0" borderId="0" xfId="1" applyNumberFormat="1" applyFont="1"/>
    <xf numFmtId="166" fontId="6" fillId="0" borderId="0" xfId="1" applyNumberFormat="1" applyFont="1" applyFill="1"/>
    <xf numFmtId="165" fontId="2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6" fontId="3" fillId="0" borderId="0" xfId="1" applyNumberFormat="1" applyFont="1" applyFill="1" applyAlignment="1"/>
    <xf numFmtId="0" fontId="0" fillId="2" borderId="0" xfId="0" applyFill="1"/>
    <xf numFmtId="165" fontId="6" fillId="0" borderId="0" xfId="1" applyNumberFormat="1" applyFont="1" applyFill="1" applyAlignment="1">
      <alignment horizontal="center"/>
    </xf>
    <xf numFmtId="43" fontId="2" fillId="0" borderId="0" xfId="1" applyFont="1" applyFill="1"/>
    <xf numFmtId="43" fontId="3" fillId="0" borderId="0" xfId="1" applyFont="1" applyFill="1" applyAlignment="1">
      <alignment horizontal="center"/>
    </xf>
    <xf numFmtId="43" fontId="0" fillId="0" borderId="0" xfId="1" applyFont="1" applyFill="1"/>
    <xf numFmtId="43" fontId="7" fillId="0" borderId="0" xfId="1" applyFont="1" applyFill="1"/>
    <xf numFmtId="43" fontId="6" fillId="0" borderId="0" xfId="1" applyFont="1" applyFill="1"/>
    <xf numFmtId="43" fontId="6" fillId="0" borderId="0" xfId="1" applyFont="1" applyFill="1" applyAlignment="1"/>
    <xf numFmtId="0" fontId="11" fillId="2" borderId="0" xfId="0" applyFont="1" applyFill="1" applyBorder="1" applyAlignment="1">
      <alignment horizontal="center"/>
    </xf>
    <xf numFmtId="166" fontId="11" fillId="2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1" applyNumberFormat="1" applyFont="1" applyFill="1" applyBorder="1"/>
    <xf numFmtId="164" fontId="14" fillId="0" borderId="0" xfId="1" applyNumberFormat="1" applyFont="1" applyFill="1" applyBorder="1"/>
    <xf numFmtId="165" fontId="14" fillId="0" borderId="0" xfId="1" applyNumberFormat="1" applyFont="1" applyFill="1" applyBorder="1"/>
    <xf numFmtId="43" fontId="14" fillId="0" borderId="0" xfId="1" applyFont="1" applyFill="1" applyBorder="1"/>
    <xf numFmtId="0" fontId="16" fillId="0" borderId="0" xfId="0" applyFont="1" applyFill="1"/>
    <xf numFmtId="49" fontId="16" fillId="0" borderId="0" xfId="0" applyNumberFormat="1" applyFont="1" applyFill="1"/>
    <xf numFmtId="164" fontId="16" fillId="0" borderId="0" xfId="0" applyNumberFormat="1" applyFont="1" applyFill="1"/>
    <xf numFmtId="0" fontId="17" fillId="0" borderId="0" xfId="0" applyFont="1" applyFill="1" applyAlignment="1">
      <alignment horizontal="right"/>
    </xf>
    <xf numFmtId="166" fontId="16" fillId="0" borderId="0" xfId="1" applyNumberFormat="1" applyFont="1" applyFill="1"/>
    <xf numFmtId="170" fontId="18" fillId="0" borderId="0" xfId="0" applyNumberFormat="1" applyFont="1" applyFill="1"/>
    <xf numFmtId="165" fontId="16" fillId="0" borderId="0" xfId="1" applyNumberFormat="1" applyFont="1" applyFill="1"/>
    <xf numFmtId="43" fontId="16" fillId="0" borderId="0" xfId="1" applyFont="1" applyFill="1"/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/>
    <xf numFmtId="165" fontId="17" fillId="0" borderId="0" xfId="1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164" fontId="20" fillId="0" borderId="0" xfId="0" applyNumberFormat="1" applyFont="1" applyFill="1"/>
    <xf numFmtId="0" fontId="20" fillId="0" borderId="0" xfId="0" applyFont="1" applyFill="1" applyAlignment="1"/>
    <xf numFmtId="0" fontId="21" fillId="0" borderId="0" xfId="0" applyFont="1" applyFill="1"/>
    <xf numFmtId="0" fontId="0" fillId="0" borderId="0" xfId="0" applyFont="1"/>
    <xf numFmtId="165" fontId="11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165" fontId="0" fillId="0" borderId="0" xfId="1" applyNumberFormat="1" applyFont="1" applyFill="1"/>
    <xf numFmtId="0" fontId="0" fillId="0" borderId="0" xfId="0" applyFill="1"/>
    <xf numFmtId="0" fontId="7" fillId="0" borderId="0" xfId="0" applyFont="1" applyFill="1"/>
    <xf numFmtId="165" fontId="7" fillId="0" borderId="0" xfId="1" applyNumberFormat="1" applyFont="1" applyFill="1"/>
    <xf numFmtId="165" fontId="14" fillId="0" borderId="13" xfId="1" applyNumberFormat="1" applyFont="1" applyFill="1" applyBorder="1" applyAlignment="1">
      <alignment vertical="center"/>
    </xf>
    <xf numFmtId="167" fontId="14" fillId="0" borderId="13" xfId="1" applyNumberFormat="1" applyFont="1" applyFill="1" applyBorder="1" applyAlignment="1">
      <alignment vertical="center"/>
    </xf>
    <xf numFmtId="167" fontId="14" fillId="0" borderId="15" xfId="1" applyNumberFormat="1" applyFont="1" applyFill="1" applyBorder="1" applyAlignment="1">
      <alignment vertical="center"/>
    </xf>
    <xf numFmtId="166" fontId="14" fillId="0" borderId="13" xfId="1" applyNumberFormat="1" applyFont="1" applyFill="1" applyBorder="1" applyAlignment="1">
      <alignment vertical="center"/>
    </xf>
    <xf numFmtId="166" fontId="14" fillId="0" borderId="5" xfId="1" applyNumberFormat="1" applyFont="1" applyFill="1" applyBorder="1" applyAlignment="1">
      <alignment vertical="center"/>
    </xf>
    <xf numFmtId="37" fontId="14" fillId="0" borderId="15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167" fontId="14" fillId="0" borderId="14" xfId="1" applyNumberFormat="1" applyFont="1" applyFill="1" applyBorder="1" applyAlignment="1">
      <alignment vertical="center"/>
    </xf>
    <xf numFmtId="37" fontId="14" fillId="0" borderId="14" xfId="1" applyNumberFormat="1" applyFont="1" applyFill="1" applyBorder="1" applyAlignment="1">
      <alignment vertical="center"/>
    </xf>
    <xf numFmtId="164" fontId="14" fillId="0" borderId="14" xfId="1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/>
    </xf>
    <xf numFmtId="166" fontId="14" fillId="0" borderId="15" xfId="1" applyNumberFormat="1" applyFont="1" applyFill="1" applyBorder="1" applyAlignment="1">
      <alignment vertical="center"/>
    </xf>
    <xf numFmtId="165" fontId="14" fillId="0" borderId="16" xfId="1" applyNumberFormat="1" applyFont="1" applyFill="1" applyBorder="1" applyAlignment="1">
      <alignment vertical="center"/>
    </xf>
    <xf numFmtId="166" fontId="14" fillId="0" borderId="16" xfId="1" applyNumberFormat="1" applyFont="1" applyFill="1" applyBorder="1" applyAlignment="1">
      <alignment vertical="center"/>
    </xf>
    <xf numFmtId="43" fontId="14" fillId="0" borderId="16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vertical="center"/>
    </xf>
    <xf numFmtId="164" fontId="14" fillId="0" borderId="16" xfId="1" applyNumberFormat="1" applyFont="1" applyFill="1" applyBorder="1" applyAlignment="1">
      <alignment vertical="center"/>
    </xf>
    <xf numFmtId="49" fontId="6" fillId="0" borderId="0" xfId="0" quotePrefix="1" applyNumberFormat="1" applyFont="1" applyFill="1" applyAlignment="1"/>
    <xf numFmtId="170" fontId="14" fillId="0" borderId="0" xfId="1" applyNumberFormat="1" applyFont="1" applyFill="1" applyBorder="1"/>
    <xf numFmtId="164" fontId="14" fillId="0" borderId="13" xfId="1" applyNumberFormat="1" applyFont="1" applyFill="1" applyBorder="1" applyAlignment="1">
      <alignment vertical="center"/>
    </xf>
    <xf numFmtId="166" fontId="16" fillId="0" borderId="0" xfId="0" applyNumberFormat="1" applyFont="1" applyFill="1"/>
    <xf numFmtId="171" fontId="14" fillId="0" borderId="14" xfId="1" applyNumberFormat="1" applyFont="1" applyFill="1" applyBorder="1" applyAlignment="1">
      <alignment vertical="center"/>
    </xf>
    <xf numFmtId="171" fontId="14" fillId="0" borderId="16" xfId="1" applyNumberFormat="1" applyFont="1" applyFill="1" applyBorder="1" applyAlignment="1">
      <alignment vertical="center"/>
    </xf>
    <xf numFmtId="166" fontId="14" fillId="0" borderId="21" xfId="1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165" fontId="14" fillId="0" borderId="13" xfId="1" applyNumberFormat="1" applyFont="1" applyFill="1" applyBorder="1" applyAlignment="1">
      <alignment horizontal="right" vertical="center"/>
    </xf>
    <xf numFmtId="169" fontId="14" fillId="0" borderId="13" xfId="1" applyNumberFormat="1" applyFont="1" applyFill="1" applyBorder="1" applyAlignment="1">
      <alignment vertical="center"/>
    </xf>
    <xf numFmtId="167" fontId="14" fillId="0" borderId="13" xfId="2" applyNumberFormat="1" applyFont="1" applyFill="1" applyBorder="1" applyAlignment="1">
      <alignment vertical="center"/>
    </xf>
    <xf numFmtId="172" fontId="14" fillId="0" borderId="13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165" fontId="14" fillId="0" borderId="14" xfId="1" applyNumberFormat="1" applyFont="1" applyFill="1" applyBorder="1" applyAlignment="1">
      <alignment horizontal="right" vertical="center"/>
    </xf>
    <xf numFmtId="169" fontId="14" fillId="0" borderId="14" xfId="1" applyNumberFormat="1" applyFont="1" applyFill="1" applyBorder="1" applyAlignment="1">
      <alignment vertical="center"/>
    </xf>
    <xf numFmtId="167" fontId="14" fillId="0" borderId="14" xfId="2" applyNumberFormat="1" applyFont="1" applyFill="1" applyBorder="1" applyAlignment="1">
      <alignment vertical="center"/>
    </xf>
    <xf numFmtId="172" fontId="14" fillId="0" borderId="14" xfId="1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166" fontId="14" fillId="2" borderId="14" xfId="1" applyNumberFormat="1" applyFont="1" applyFill="1" applyBorder="1" applyAlignment="1">
      <alignment vertical="center"/>
    </xf>
    <xf numFmtId="167" fontId="14" fillId="0" borderId="16" xfId="1" applyNumberFormat="1" applyFont="1" applyFill="1" applyBorder="1" applyAlignment="1">
      <alignment vertical="center"/>
    </xf>
    <xf numFmtId="169" fontId="14" fillId="0" borderId="16" xfId="1" applyNumberFormat="1" applyFont="1" applyFill="1" applyBorder="1" applyAlignment="1">
      <alignment vertical="center"/>
    </xf>
    <xf numFmtId="167" fontId="14" fillId="0" borderId="16" xfId="2" applyNumberFormat="1" applyFont="1" applyFill="1" applyBorder="1" applyAlignment="1">
      <alignment vertical="center"/>
    </xf>
    <xf numFmtId="169" fontId="14" fillId="0" borderId="15" xfId="1" applyNumberFormat="1" applyFont="1" applyFill="1" applyBorder="1" applyAlignment="1">
      <alignment vertical="center"/>
    </xf>
    <xf numFmtId="166" fontId="14" fillId="0" borderId="1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/>
    <xf numFmtId="43" fontId="21" fillId="0" borderId="0" xfId="1" applyFont="1" applyFill="1"/>
    <xf numFmtId="165" fontId="23" fillId="0" borderId="0" xfId="1" applyNumberFormat="1" applyFont="1" applyFill="1" applyBorder="1" applyAlignment="1">
      <alignment horizontal="center"/>
    </xf>
    <xf numFmtId="166" fontId="24" fillId="0" borderId="0" xfId="1" applyNumberFormat="1" applyFont="1" applyFill="1"/>
    <xf numFmtId="43" fontId="24" fillId="0" borderId="0" xfId="1" applyNumberFormat="1" applyFont="1" applyFill="1"/>
    <xf numFmtId="43" fontId="21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165" fontId="14" fillId="0" borderId="15" xfId="1" applyNumberFormat="1" applyFont="1" applyFill="1" applyBorder="1" applyAlignment="1">
      <alignment vertical="center"/>
    </xf>
    <xf numFmtId="164" fontId="14" fillId="0" borderId="15" xfId="1" applyNumberFormat="1" applyFont="1" applyFill="1" applyBorder="1" applyAlignment="1">
      <alignment vertical="center"/>
    </xf>
    <xf numFmtId="171" fontId="14" fillId="0" borderId="15" xfId="1" applyNumberFormat="1" applyFont="1" applyFill="1" applyBorder="1" applyAlignment="1">
      <alignment vertical="center"/>
    </xf>
    <xf numFmtId="166" fontId="14" fillId="2" borderId="13" xfId="1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166" fontId="14" fillId="2" borderId="16" xfId="1" applyNumberFormat="1" applyFont="1" applyFill="1" applyBorder="1" applyAlignment="1">
      <alignment vertical="center"/>
    </xf>
    <xf numFmtId="165" fontId="14" fillId="0" borderId="16" xfId="1" applyNumberFormat="1" applyFont="1" applyFill="1" applyBorder="1" applyAlignment="1">
      <alignment horizontal="right" vertical="center"/>
    </xf>
    <xf numFmtId="172" fontId="14" fillId="0" borderId="16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23" fillId="0" borderId="0" xfId="0" applyFont="1" applyFill="1"/>
    <xf numFmtId="0" fontId="23" fillId="0" borderId="15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7" fontId="22" fillId="0" borderId="14" xfId="1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6" fontId="15" fillId="0" borderId="3" xfId="1" applyNumberFormat="1" applyFont="1" applyFill="1" applyBorder="1" applyAlignment="1"/>
    <xf numFmtId="166" fontId="14" fillId="0" borderId="3" xfId="1" applyNumberFormat="1" applyFont="1" applyFill="1" applyBorder="1" applyAlignment="1"/>
    <xf numFmtId="0" fontId="17" fillId="0" borderId="0" xfId="0" applyFont="1" applyFill="1" applyAlignment="1"/>
    <xf numFmtId="0" fontId="12" fillId="0" borderId="7" xfId="0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66" fontId="13" fillId="0" borderId="1" xfId="1" applyNumberFormat="1" applyFont="1" applyFill="1" applyBorder="1" applyAlignment="1">
      <alignment horizontal="center" vertical="center" wrapText="1"/>
    </xf>
    <xf numFmtId="166" fontId="13" fillId="0" borderId="12" xfId="1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6" fontId="15" fillId="0" borderId="3" xfId="1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43" fontId="13" fillId="0" borderId="5" xfId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65446</xdr:colOff>
      <xdr:row>2</xdr:row>
      <xdr:rowOff>29294</xdr:rowOff>
    </xdr:from>
    <xdr:to>
      <xdr:col>7</xdr:col>
      <xdr:colOff>233414</xdr:colOff>
      <xdr:row>2</xdr:row>
      <xdr:rowOff>30009</xdr:rowOff>
    </xdr:to>
    <xdr:cxnSp macro="">
      <xdr:nvCxnSpPr>
        <xdr:cNvPr id="2" name="Straight Connector 1"/>
        <xdr:cNvCxnSpPr/>
      </xdr:nvCxnSpPr>
      <xdr:spPr>
        <a:xfrm>
          <a:off x="2189521" y="476969"/>
          <a:ext cx="1015693" cy="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89188</xdr:colOff>
      <xdr:row>2</xdr:row>
      <xdr:rowOff>45893</xdr:rowOff>
    </xdr:from>
    <xdr:to>
      <xdr:col>31</xdr:col>
      <xdr:colOff>32904</xdr:colOff>
      <xdr:row>2</xdr:row>
      <xdr:rowOff>45893</xdr:rowOff>
    </xdr:to>
    <xdr:cxnSp macro="">
      <xdr:nvCxnSpPr>
        <xdr:cNvPr id="3" name="Straight Connector 2"/>
        <xdr:cNvCxnSpPr/>
      </xdr:nvCxnSpPr>
      <xdr:spPr>
        <a:xfrm>
          <a:off x="11129529" y="496166"/>
          <a:ext cx="1476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tabSelected="1" topLeftCell="A7" zoomScale="110" zoomScaleNormal="110" workbookViewId="0">
      <pane xSplit="3" ySplit="6" topLeftCell="D37" activePane="bottomRight" state="frozen"/>
      <selection activeCell="A7" sqref="A7"/>
      <selection pane="topRight" activeCell="D7" sqref="D7"/>
      <selection pane="bottomLeft" activeCell="A13" sqref="A13"/>
      <selection pane="bottomRight" activeCell="T45" sqref="T45"/>
    </sheetView>
  </sheetViews>
  <sheetFormatPr defaultRowHeight="15" x14ac:dyDescent="0.25"/>
  <cols>
    <col min="1" max="1" width="3" hidden="1" customWidth="1"/>
    <col min="2" max="2" width="3.28515625" customWidth="1"/>
    <col min="3" max="3" width="7.85546875" customWidth="1"/>
    <col min="4" max="4" width="7.7109375" style="14" customWidth="1"/>
    <col min="5" max="5" width="7.5703125" customWidth="1"/>
    <col min="6" max="6" width="5.7109375" customWidth="1"/>
    <col min="7" max="7" width="6" style="57" customWidth="1"/>
    <col min="8" max="8" width="8.28515625" style="58" customWidth="1"/>
    <col min="9" max="9" width="5.85546875" style="58" customWidth="1"/>
    <col min="10" max="10" width="6.42578125" style="58" customWidth="1"/>
    <col min="11" max="11" width="6.7109375" style="58" customWidth="1"/>
    <col min="12" max="13" width="5.7109375" style="58" customWidth="1"/>
    <col min="14" max="14" width="7.140625" style="58" customWidth="1"/>
    <col min="15" max="15" width="5.42578125" style="58" customWidth="1"/>
    <col min="16" max="16" width="6" style="25" customWidth="1"/>
    <col min="17" max="18" width="5.7109375" style="58" customWidth="1"/>
    <col min="19" max="19" width="6" style="58" customWidth="1"/>
    <col min="20" max="20" width="6.5703125" style="58" customWidth="1"/>
    <col min="21" max="22" width="5.140625" style="58" customWidth="1"/>
    <col min="23" max="23" width="7.85546875" style="58" customWidth="1"/>
    <col min="24" max="24" width="5.140625" style="58" customWidth="1"/>
    <col min="25" max="25" width="5.85546875" style="57" customWidth="1"/>
    <col min="26" max="26" width="6.7109375" style="58" customWidth="1"/>
    <col min="27" max="27" width="7" style="58" customWidth="1"/>
    <col min="28" max="28" width="4.85546875" style="58" customWidth="1"/>
    <col min="29" max="29" width="7" style="58" customWidth="1"/>
    <col min="30" max="30" width="5.42578125" style="58" customWidth="1"/>
    <col min="31" max="31" width="5.7109375" style="58" customWidth="1"/>
    <col min="32" max="32" width="7.140625" style="58" customWidth="1"/>
    <col min="33" max="33" width="6.7109375" style="58" customWidth="1"/>
    <col min="34" max="34" width="4" style="128" customWidth="1"/>
    <col min="35" max="35" width="3.28515625" customWidth="1"/>
    <col min="36" max="36" width="4.7109375" customWidth="1"/>
  </cols>
  <sheetData>
    <row r="1" spans="1:36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69" t="s">
        <v>1</v>
      </c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ht="18.75" x14ac:dyDescent="0.3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70" t="s">
        <v>3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5.75" x14ac:dyDescent="0.25">
      <c r="A3" s="1"/>
      <c r="B3" s="1"/>
      <c r="C3" s="1"/>
      <c r="D3" s="12"/>
      <c r="E3" s="1"/>
      <c r="F3" s="1"/>
      <c r="G3" s="17"/>
      <c r="H3" s="1"/>
      <c r="I3" s="1"/>
      <c r="J3" s="1"/>
      <c r="K3" s="1"/>
      <c r="L3" s="1"/>
      <c r="M3" s="1"/>
      <c r="N3" s="1"/>
      <c r="O3" s="1"/>
      <c r="P3" s="23"/>
      <c r="Q3" s="1"/>
      <c r="R3" s="1"/>
      <c r="S3" s="1"/>
      <c r="T3" s="1"/>
      <c r="U3" s="1"/>
      <c r="V3" s="1"/>
      <c r="W3" s="1"/>
      <c r="X3" s="1"/>
      <c r="Y3" s="17"/>
      <c r="Z3" s="1"/>
      <c r="AA3" s="1"/>
      <c r="AB3" s="1"/>
      <c r="AC3" s="1"/>
      <c r="AD3" s="1"/>
      <c r="AE3" s="1"/>
      <c r="AF3" s="1"/>
    </row>
    <row r="4" spans="1:36" ht="15.75" x14ac:dyDescent="0.25">
      <c r="A4" s="2"/>
      <c r="B4" s="2"/>
      <c r="C4" s="2"/>
      <c r="D4" s="20"/>
      <c r="E4" s="2"/>
      <c r="F4" s="2"/>
      <c r="G4" s="18"/>
      <c r="H4" s="11"/>
      <c r="I4" s="11"/>
      <c r="J4" s="11"/>
      <c r="K4" s="11"/>
      <c r="L4" s="11"/>
      <c r="M4" s="11"/>
      <c r="N4" s="11"/>
      <c r="O4" s="11"/>
      <c r="P4" s="24"/>
      <c r="Q4" s="11"/>
      <c r="R4" s="11"/>
      <c r="S4" s="11"/>
      <c r="T4" s="11"/>
      <c r="U4" s="11"/>
      <c r="V4" s="11"/>
      <c r="W4" s="11"/>
      <c r="X4" s="11"/>
      <c r="Y4" s="18"/>
      <c r="Z4" s="11"/>
      <c r="AA4" s="11"/>
      <c r="AB4" s="11"/>
      <c r="AC4" s="11"/>
      <c r="AD4" s="11"/>
      <c r="AE4" s="11"/>
      <c r="AF4" s="11"/>
    </row>
    <row r="5" spans="1:36" ht="15.75" x14ac:dyDescent="0.25">
      <c r="A5" s="3"/>
      <c r="B5" s="3"/>
      <c r="C5" s="11"/>
      <c r="D5" s="13"/>
      <c r="E5" s="11"/>
      <c r="F5" s="11"/>
      <c r="G5" s="18"/>
      <c r="H5" s="11"/>
      <c r="I5" s="11"/>
      <c r="J5" s="3"/>
      <c r="K5" s="3"/>
      <c r="L5" s="3"/>
      <c r="M5" s="11"/>
      <c r="N5" s="11"/>
      <c r="O5" s="11"/>
      <c r="P5" s="24"/>
      <c r="Q5" s="3"/>
      <c r="R5" s="3"/>
      <c r="S5" s="3"/>
      <c r="T5" s="3"/>
      <c r="U5" s="3"/>
      <c r="V5" s="3"/>
      <c r="W5" s="3"/>
      <c r="X5" s="3"/>
      <c r="Y5" s="19"/>
      <c r="Z5" s="3"/>
      <c r="AA5" s="3"/>
      <c r="AB5" s="3"/>
      <c r="AC5" s="3"/>
      <c r="AD5" s="3"/>
      <c r="AE5" s="3"/>
      <c r="AF5" s="3"/>
    </row>
    <row r="6" spans="1:36" ht="18.75" x14ac:dyDescent="0.3">
      <c r="A6" s="3"/>
      <c r="B6" s="168" t="s">
        <v>63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6" ht="18.75" x14ac:dyDescent="0.3">
      <c r="B7" s="153" t="s">
        <v>64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8" spans="1:36" s="21" customFormat="1" ht="18.75" x14ac:dyDescent="0.3">
      <c r="B8" s="29" t="s">
        <v>56</v>
      </c>
      <c r="C8" s="29"/>
      <c r="D8" s="30"/>
      <c r="E8" s="29"/>
      <c r="F8" s="29"/>
      <c r="G8" s="55"/>
      <c r="H8" s="77"/>
      <c r="I8" s="77"/>
      <c r="J8" s="77"/>
      <c r="K8" s="77"/>
      <c r="L8" s="77"/>
      <c r="M8" s="116"/>
      <c r="N8" s="109"/>
      <c r="O8" s="109"/>
      <c r="P8" s="31"/>
      <c r="Q8" s="116"/>
      <c r="R8" s="109"/>
      <c r="S8" s="116"/>
      <c r="T8" s="109"/>
      <c r="U8" s="109"/>
      <c r="V8" s="116"/>
      <c r="W8" s="109"/>
      <c r="X8" s="109"/>
      <c r="Y8" s="55"/>
      <c r="Z8" s="142"/>
      <c r="AA8" s="142"/>
      <c r="AB8" s="142"/>
      <c r="AC8" s="142"/>
      <c r="AD8" s="142"/>
      <c r="AE8" s="171" t="s">
        <v>4</v>
      </c>
      <c r="AF8" s="171"/>
      <c r="AG8" s="171"/>
      <c r="AH8" s="171"/>
      <c r="AI8" s="171"/>
      <c r="AJ8" s="171"/>
    </row>
    <row r="9" spans="1:36" ht="15.75" customHeight="1" x14ac:dyDescent="0.25">
      <c r="B9" s="149" t="s">
        <v>5</v>
      </c>
      <c r="C9" s="149" t="s">
        <v>6</v>
      </c>
      <c r="D9" s="155" t="s">
        <v>61</v>
      </c>
      <c r="E9" s="156"/>
      <c r="F9" s="157"/>
      <c r="G9" s="143" t="s">
        <v>50</v>
      </c>
      <c r="H9" s="144"/>
      <c r="I9" s="145"/>
      <c r="J9" s="173" t="s">
        <v>53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36" s="108" customFormat="1" ht="15.75" customHeight="1" x14ac:dyDescent="0.25">
      <c r="B10" s="154"/>
      <c r="C10" s="154"/>
      <c r="D10" s="158"/>
      <c r="E10" s="159"/>
      <c r="F10" s="160"/>
      <c r="G10" s="146"/>
      <c r="H10" s="147"/>
      <c r="I10" s="148"/>
      <c r="J10" s="161" t="s">
        <v>54</v>
      </c>
      <c r="K10" s="161"/>
      <c r="L10" s="162"/>
      <c r="M10" s="161" t="s">
        <v>55</v>
      </c>
      <c r="N10" s="161"/>
      <c r="O10" s="162"/>
      <c r="P10" s="161" t="s">
        <v>7</v>
      </c>
      <c r="Q10" s="161"/>
      <c r="R10" s="162"/>
      <c r="S10" s="163" t="s">
        <v>8</v>
      </c>
      <c r="T10" s="161"/>
      <c r="U10" s="162"/>
      <c r="V10" s="163" t="s">
        <v>9</v>
      </c>
      <c r="W10" s="161"/>
      <c r="X10" s="161"/>
      <c r="Y10" s="163" t="s">
        <v>48</v>
      </c>
      <c r="Z10" s="161"/>
      <c r="AA10" s="162"/>
      <c r="AB10" s="163" t="s">
        <v>10</v>
      </c>
      <c r="AC10" s="161"/>
      <c r="AD10" s="162"/>
      <c r="AE10" s="163" t="s">
        <v>11</v>
      </c>
      <c r="AF10" s="161"/>
      <c r="AG10" s="162"/>
      <c r="AH10" s="172" t="s">
        <v>60</v>
      </c>
      <c r="AI10" s="172"/>
      <c r="AJ10" s="172"/>
    </row>
    <row r="11" spans="1:36" x14ac:dyDescent="0.25">
      <c r="B11" s="154"/>
      <c r="C11" s="154"/>
      <c r="D11" s="175" t="s">
        <v>12</v>
      </c>
      <c r="E11" s="149" t="s">
        <v>13</v>
      </c>
      <c r="F11" s="149" t="s">
        <v>49</v>
      </c>
      <c r="G11" s="164" t="s">
        <v>12</v>
      </c>
      <c r="H11" s="149" t="s">
        <v>13</v>
      </c>
      <c r="I11" s="149" t="s">
        <v>49</v>
      </c>
      <c r="J11" s="149" t="s">
        <v>12</v>
      </c>
      <c r="K11" s="149" t="s">
        <v>13</v>
      </c>
      <c r="L11" s="149" t="s">
        <v>49</v>
      </c>
      <c r="M11" s="151" t="s">
        <v>12</v>
      </c>
      <c r="N11" s="149" t="s">
        <v>13</v>
      </c>
      <c r="O11" s="149" t="s">
        <v>49</v>
      </c>
      <c r="P11" s="182" t="s">
        <v>12</v>
      </c>
      <c r="Q11" s="149" t="s">
        <v>13</v>
      </c>
      <c r="R11" s="149" t="s">
        <v>49</v>
      </c>
      <c r="S11" s="149" t="s">
        <v>12</v>
      </c>
      <c r="T11" s="149" t="s">
        <v>13</v>
      </c>
      <c r="U11" s="149" t="s">
        <v>49</v>
      </c>
      <c r="V11" s="149" t="s">
        <v>12</v>
      </c>
      <c r="W11" s="149" t="s">
        <v>13</v>
      </c>
      <c r="X11" s="149" t="s">
        <v>49</v>
      </c>
      <c r="Y11" s="164" t="s">
        <v>12</v>
      </c>
      <c r="Z11" s="149" t="s">
        <v>13</v>
      </c>
      <c r="AA11" s="149" t="s">
        <v>49</v>
      </c>
      <c r="AB11" s="149" t="s">
        <v>12</v>
      </c>
      <c r="AC11" s="149" t="s">
        <v>13</v>
      </c>
      <c r="AD11" s="149" t="s">
        <v>49</v>
      </c>
      <c r="AE11" s="149" t="s">
        <v>12</v>
      </c>
      <c r="AF11" s="149" t="s">
        <v>13</v>
      </c>
      <c r="AG11" s="149" t="s">
        <v>49</v>
      </c>
      <c r="AH11" s="149" t="s">
        <v>12</v>
      </c>
      <c r="AI11" s="149" t="s">
        <v>13</v>
      </c>
      <c r="AJ11" s="149" t="s">
        <v>49</v>
      </c>
    </row>
    <row r="12" spans="1:36" x14ac:dyDescent="0.25">
      <c r="B12" s="150"/>
      <c r="C12" s="150"/>
      <c r="D12" s="176"/>
      <c r="E12" s="150"/>
      <c r="F12" s="150"/>
      <c r="G12" s="165"/>
      <c r="H12" s="150"/>
      <c r="I12" s="150"/>
      <c r="J12" s="150"/>
      <c r="K12" s="150"/>
      <c r="L12" s="150"/>
      <c r="M12" s="152"/>
      <c r="N12" s="154"/>
      <c r="O12" s="154"/>
      <c r="P12" s="183"/>
      <c r="Q12" s="154"/>
      <c r="R12" s="154"/>
      <c r="S12" s="154"/>
      <c r="T12" s="154"/>
      <c r="U12" s="154"/>
      <c r="V12" s="154"/>
      <c r="W12" s="150"/>
      <c r="X12" s="150"/>
      <c r="Y12" s="165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</row>
    <row r="13" spans="1:36" s="88" customFormat="1" ht="14.25" customHeight="1" x14ac:dyDescent="0.25">
      <c r="B13" s="89">
        <v>1</v>
      </c>
      <c r="C13" s="90" t="s">
        <v>14</v>
      </c>
      <c r="D13" s="120">
        <f>G13+J13</f>
        <v>41250</v>
      </c>
      <c r="E13" s="64">
        <f>H13+K13</f>
        <v>2399.6</v>
      </c>
      <c r="F13" s="64">
        <f>(E13/D13)*100</f>
        <v>5.8172121212121208</v>
      </c>
      <c r="G13" s="91">
        <v>35000</v>
      </c>
      <c r="H13" s="64">
        <f>838.5+303</f>
        <v>1141.5</v>
      </c>
      <c r="I13" s="64">
        <f>(H13/G13)*100</f>
        <v>3.2614285714285716</v>
      </c>
      <c r="J13" s="64">
        <f>M13+P13+S13+V13+Y13+AE13</f>
        <v>6250</v>
      </c>
      <c r="K13" s="64">
        <f>N13+Q13+T13+W13+Z13+AC13+AF13</f>
        <v>1258.0999999999999</v>
      </c>
      <c r="L13" s="64">
        <f>(K13/J13)*100</f>
        <v>20.129599999999996</v>
      </c>
      <c r="M13" s="62">
        <v>3005</v>
      </c>
      <c r="N13" s="64">
        <f>8.2+27.5+21.7+37+10.6+5.8+2.7+55.7+60.7+1.7+8.4+5.5+31.1+12.8+16.8+73.1+1.2+10+45.3+20.1+9.1+48.8+135+10+0.1+10+6.9+23.3+3-1.5+5.9+18.4+15.2+22.7+0.9+0.9+1.3+0.7+0.5+3.2</f>
        <v>770.3</v>
      </c>
      <c r="O13" s="92">
        <f>(N13/M13)*100</f>
        <v>25.633943427620633</v>
      </c>
      <c r="P13" s="64">
        <v>80</v>
      </c>
      <c r="Q13" s="64"/>
      <c r="R13" s="92">
        <f>(Q13/P13)*100</f>
        <v>0</v>
      </c>
      <c r="S13" s="93">
        <v>620</v>
      </c>
      <c r="T13" s="64">
        <f>2+4.2+1.4+0.5+4.9+1.1+8.1+1.8+1.5+2.1+1.9+1.9+1.8+5.9-0.1</f>
        <v>38.999999999999993</v>
      </c>
      <c r="U13" s="92">
        <f>(T13/S13)*100</f>
        <v>6.290322580645161</v>
      </c>
      <c r="V13" s="93">
        <v>265</v>
      </c>
      <c r="W13" s="64">
        <f>2+2+2+19+2+1+1+3+1+3+1+0.3+2+1+3.6+2+3.1+22.6+2+59.6+1.5+0.3+1</f>
        <v>136</v>
      </c>
      <c r="X13" s="82">
        <f>(W13/V13)*100</f>
        <v>51.320754716981135</v>
      </c>
      <c r="Y13" s="61">
        <v>1480</v>
      </c>
      <c r="Z13" s="64">
        <f>14+60+0.2+48.3+37+34+37.3+2+40+40</f>
        <v>312.8</v>
      </c>
      <c r="AA13" s="92">
        <f>(Z13/Y13)*100</f>
        <v>21.135135135135137</v>
      </c>
      <c r="AB13" s="93"/>
      <c r="AC13" s="64"/>
      <c r="AD13" s="92"/>
      <c r="AE13" s="62">
        <v>800</v>
      </c>
      <c r="AF13" s="64"/>
      <c r="AG13" s="94">
        <f>(AF13/AE13)*100</f>
        <v>0</v>
      </c>
      <c r="AH13" s="130"/>
      <c r="AI13" s="132"/>
      <c r="AJ13" s="132"/>
    </row>
    <row r="14" spans="1:36" s="88" customFormat="1" ht="14.25" customHeight="1" x14ac:dyDescent="0.25">
      <c r="B14" s="101">
        <v>2</v>
      </c>
      <c r="C14" s="96" t="s">
        <v>15</v>
      </c>
      <c r="D14" s="102">
        <f t="shared" ref="D14:D40" si="0">G14+J14</f>
        <v>360.5</v>
      </c>
      <c r="E14" s="68">
        <f t="shared" ref="E14:E40" si="1">H14+K14</f>
        <v>3.9</v>
      </c>
      <c r="F14" s="68">
        <f t="shared" ref="F14:F40" si="2">(E14/D14)*100</f>
        <v>1.0818307905686546</v>
      </c>
      <c r="G14" s="97"/>
      <c r="H14" s="68"/>
      <c r="I14" s="68"/>
      <c r="J14" s="68">
        <f t="shared" ref="J14:J40" si="3">M14+P14+S14+V14+Y14+AE14</f>
        <v>360.5</v>
      </c>
      <c r="K14" s="68">
        <f t="shared" ref="K14:K39" si="4">N14+Q14+T14+W14+Z14+AC14+AF14</f>
        <v>3.9</v>
      </c>
      <c r="L14" s="68">
        <f t="shared" ref="L14:L40" si="5">(K14/J14)*100</f>
        <v>1.0818307905686546</v>
      </c>
      <c r="M14" s="69">
        <v>22</v>
      </c>
      <c r="N14" s="68"/>
      <c r="O14" s="98">
        <f t="shared" ref="O14:O40" si="6">(N14/M14)*100</f>
        <v>0</v>
      </c>
      <c r="P14" s="68"/>
      <c r="Q14" s="68"/>
      <c r="R14" s="98"/>
      <c r="S14" s="99">
        <v>5</v>
      </c>
      <c r="T14" s="68">
        <f>0.2+0.4</f>
        <v>0.60000000000000009</v>
      </c>
      <c r="U14" s="98">
        <f t="shared" ref="U14:U40" si="7">(T14/S14)*100</f>
        <v>12.000000000000002</v>
      </c>
      <c r="V14" s="99">
        <v>13</v>
      </c>
      <c r="W14" s="68">
        <f>0.3+3</f>
        <v>3.3</v>
      </c>
      <c r="X14" s="71">
        <f t="shared" ref="X14:X40" si="8">(W14/V14)*100</f>
        <v>25.384615384615383</v>
      </c>
      <c r="Y14" s="67">
        <v>200</v>
      </c>
      <c r="Z14" s="68"/>
      <c r="AA14" s="98">
        <f t="shared" ref="AA14:AA40" si="9">(Z14/Y14)*100</f>
        <v>0</v>
      </c>
      <c r="AB14" s="99"/>
      <c r="AC14" s="68"/>
      <c r="AD14" s="98"/>
      <c r="AE14" s="71">
        <v>120.5</v>
      </c>
      <c r="AF14" s="68"/>
      <c r="AG14" s="100">
        <f t="shared" ref="AG14:AG40" si="10">(AF14/AE14)*100</f>
        <v>0</v>
      </c>
      <c r="AH14" s="130"/>
      <c r="AI14" s="132"/>
      <c r="AJ14" s="132"/>
    </row>
    <row r="15" spans="1:36" s="88" customFormat="1" ht="14.25" customHeight="1" x14ac:dyDescent="0.25">
      <c r="B15" s="101">
        <v>3</v>
      </c>
      <c r="C15" s="96" t="s">
        <v>16</v>
      </c>
      <c r="D15" s="102">
        <f t="shared" si="0"/>
        <v>363</v>
      </c>
      <c r="E15" s="68">
        <f t="shared" si="1"/>
        <v>36.1</v>
      </c>
      <c r="F15" s="68">
        <f t="shared" si="2"/>
        <v>9.9449035812672193</v>
      </c>
      <c r="G15" s="97">
        <v>100</v>
      </c>
      <c r="H15" s="68">
        <f>29.2</f>
        <v>29.2</v>
      </c>
      <c r="I15" s="68">
        <f t="shared" ref="I15:I39" si="11">(H15/G15)*100</f>
        <v>29.2</v>
      </c>
      <c r="J15" s="68">
        <f t="shared" si="3"/>
        <v>263</v>
      </c>
      <c r="K15" s="68">
        <f t="shared" si="4"/>
        <v>6.9</v>
      </c>
      <c r="L15" s="68">
        <f t="shared" si="5"/>
        <v>2.623574144486692</v>
      </c>
      <c r="M15" s="69">
        <v>15</v>
      </c>
      <c r="N15" s="68">
        <f>6.4</f>
        <v>6.4</v>
      </c>
      <c r="O15" s="98">
        <f t="shared" si="6"/>
        <v>42.666666666666671</v>
      </c>
      <c r="P15" s="68"/>
      <c r="Q15" s="68"/>
      <c r="R15" s="98"/>
      <c r="S15" s="99">
        <v>5</v>
      </c>
      <c r="T15" s="68">
        <f>0.1</f>
        <v>0.1</v>
      </c>
      <c r="U15" s="98">
        <f t="shared" si="7"/>
        <v>2</v>
      </c>
      <c r="V15" s="99">
        <v>13</v>
      </c>
      <c r="W15" s="68">
        <f>0.3+0.1</f>
        <v>0.4</v>
      </c>
      <c r="X15" s="71">
        <f t="shared" si="8"/>
        <v>3.0769230769230771</v>
      </c>
      <c r="Y15" s="67">
        <v>230</v>
      </c>
      <c r="Z15" s="68"/>
      <c r="AA15" s="98">
        <f t="shared" si="9"/>
        <v>0</v>
      </c>
      <c r="AB15" s="99"/>
      <c r="AC15" s="68"/>
      <c r="AD15" s="98"/>
      <c r="AE15" s="69"/>
      <c r="AF15" s="68"/>
      <c r="AG15" s="100"/>
      <c r="AH15" s="130"/>
      <c r="AI15" s="132"/>
      <c r="AJ15" s="132"/>
    </row>
    <row r="16" spans="1:36" s="88" customFormat="1" ht="14.25" customHeight="1" x14ac:dyDescent="0.25">
      <c r="B16" s="101">
        <v>4</v>
      </c>
      <c r="C16" s="96" t="s">
        <v>17</v>
      </c>
      <c r="D16" s="102">
        <f t="shared" si="0"/>
        <v>248</v>
      </c>
      <c r="E16" s="68">
        <f t="shared" si="1"/>
        <v>18.3</v>
      </c>
      <c r="F16" s="68">
        <f t="shared" si="2"/>
        <v>7.379032258064516</v>
      </c>
      <c r="G16" s="97">
        <v>100</v>
      </c>
      <c r="H16" s="68"/>
      <c r="I16" s="68">
        <f t="shared" si="11"/>
        <v>0</v>
      </c>
      <c r="J16" s="68">
        <f t="shared" si="3"/>
        <v>148</v>
      </c>
      <c r="K16" s="68">
        <f t="shared" si="4"/>
        <v>18.3</v>
      </c>
      <c r="L16" s="68">
        <f t="shared" si="5"/>
        <v>12.364864864864865</v>
      </c>
      <c r="M16" s="69">
        <v>10</v>
      </c>
      <c r="N16" s="68">
        <f>2-2</f>
        <v>0</v>
      </c>
      <c r="O16" s="98">
        <f t="shared" si="6"/>
        <v>0</v>
      </c>
      <c r="P16" s="68"/>
      <c r="Q16" s="68"/>
      <c r="R16" s="98"/>
      <c r="S16" s="99">
        <v>5</v>
      </c>
      <c r="T16" s="68"/>
      <c r="U16" s="98">
        <f t="shared" si="7"/>
        <v>0</v>
      </c>
      <c r="V16" s="99">
        <v>13</v>
      </c>
      <c r="W16" s="68">
        <f>0.3+2+0.3+0.7</f>
        <v>3.3</v>
      </c>
      <c r="X16" s="71">
        <f t="shared" si="8"/>
        <v>25.384615384615383</v>
      </c>
      <c r="Y16" s="67">
        <v>120</v>
      </c>
      <c r="Z16" s="68">
        <f>15</f>
        <v>15</v>
      </c>
      <c r="AA16" s="98">
        <f t="shared" si="9"/>
        <v>12.5</v>
      </c>
      <c r="AB16" s="99"/>
      <c r="AC16" s="68"/>
      <c r="AD16" s="98"/>
      <c r="AE16" s="69"/>
      <c r="AF16" s="68"/>
      <c r="AG16" s="100"/>
      <c r="AH16" s="130"/>
      <c r="AI16" s="132"/>
      <c r="AJ16" s="132"/>
    </row>
    <row r="17" spans="2:36" s="88" customFormat="1" ht="14.25" customHeight="1" x14ac:dyDescent="0.25">
      <c r="B17" s="101">
        <v>5</v>
      </c>
      <c r="C17" s="96" t="s">
        <v>18</v>
      </c>
      <c r="D17" s="102">
        <f t="shared" si="0"/>
        <v>385</v>
      </c>
      <c r="E17" s="68">
        <f t="shared" si="1"/>
        <v>5.6</v>
      </c>
      <c r="F17" s="68">
        <f t="shared" si="2"/>
        <v>1.4545454545454544</v>
      </c>
      <c r="G17" s="97">
        <v>200</v>
      </c>
      <c r="H17" s="68"/>
      <c r="I17" s="68">
        <f t="shared" si="11"/>
        <v>0</v>
      </c>
      <c r="J17" s="68">
        <f t="shared" si="3"/>
        <v>185</v>
      </c>
      <c r="K17" s="68">
        <f t="shared" si="4"/>
        <v>5.6</v>
      </c>
      <c r="L17" s="68">
        <f t="shared" si="5"/>
        <v>3.0270270270270272</v>
      </c>
      <c r="M17" s="69">
        <v>10</v>
      </c>
      <c r="N17" s="68"/>
      <c r="O17" s="98">
        <f t="shared" si="6"/>
        <v>0</v>
      </c>
      <c r="P17" s="68"/>
      <c r="Q17" s="68"/>
      <c r="R17" s="98"/>
      <c r="S17" s="99">
        <v>5</v>
      </c>
      <c r="T17" s="68">
        <f>0.1</f>
        <v>0.1</v>
      </c>
      <c r="U17" s="98">
        <f t="shared" si="7"/>
        <v>2</v>
      </c>
      <c r="V17" s="99">
        <v>20</v>
      </c>
      <c r="W17" s="68">
        <f>4+1.5</f>
        <v>5.5</v>
      </c>
      <c r="X17" s="71">
        <f t="shared" si="8"/>
        <v>27.500000000000004</v>
      </c>
      <c r="Y17" s="67">
        <v>150</v>
      </c>
      <c r="Z17" s="68"/>
      <c r="AA17" s="98">
        <f t="shared" si="9"/>
        <v>0</v>
      </c>
      <c r="AB17" s="99"/>
      <c r="AC17" s="68"/>
      <c r="AD17" s="98"/>
      <c r="AE17" s="69"/>
      <c r="AF17" s="68"/>
      <c r="AG17" s="100"/>
      <c r="AH17" s="130"/>
      <c r="AI17" s="132"/>
      <c r="AJ17" s="132"/>
    </row>
    <row r="18" spans="2:36" s="88" customFormat="1" ht="14.25" customHeight="1" x14ac:dyDescent="0.25">
      <c r="B18" s="101">
        <v>6</v>
      </c>
      <c r="C18" s="96" t="s">
        <v>59</v>
      </c>
      <c r="D18" s="102">
        <f t="shared" si="0"/>
        <v>1100.9000000000001</v>
      </c>
      <c r="E18" s="68">
        <f t="shared" si="1"/>
        <v>212.49999999999997</v>
      </c>
      <c r="F18" s="68">
        <f t="shared" si="2"/>
        <v>19.302388954491775</v>
      </c>
      <c r="G18" s="97">
        <v>500</v>
      </c>
      <c r="H18" s="68">
        <f>17.1</f>
        <v>17.100000000000001</v>
      </c>
      <c r="I18" s="68">
        <f t="shared" si="11"/>
        <v>3.42</v>
      </c>
      <c r="J18" s="68">
        <f t="shared" si="3"/>
        <v>600.9</v>
      </c>
      <c r="K18" s="68">
        <f t="shared" si="4"/>
        <v>195.39999999999998</v>
      </c>
      <c r="L18" s="68">
        <f t="shared" si="5"/>
        <v>32.517889831918787</v>
      </c>
      <c r="M18" s="69">
        <v>405</v>
      </c>
      <c r="N18" s="68">
        <f>0.7+7.6+0.1+76.9+4+55+0.4+0.7+4.1+0.5+0.4</f>
        <v>150.4</v>
      </c>
      <c r="O18" s="98">
        <f t="shared" si="6"/>
        <v>37.135802469135804</v>
      </c>
      <c r="P18" s="68">
        <v>0.9</v>
      </c>
      <c r="Q18" s="68"/>
      <c r="R18" s="98">
        <f t="shared" ref="R18:R39" si="12">(Q18/P18)*100</f>
        <v>0</v>
      </c>
      <c r="S18" s="99">
        <v>25</v>
      </c>
      <c r="T18" s="68">
        <f>0.1+0.1+0.1+0.6+1.9+0.3+1.5+5.6+0.4+0.1</f>
        <v>10.7</v>
      </c>
      <c r="U18" s="98">
        <f t="shared" si="7"/>
        <v>42.8</v>
      </c>
      <c r="V18" s="99">
        <v>61</v>
      </c>
      <c r="W18" s="68">
        <f>1+0.3+5.6+6.1+6.2+6+2</f>
        <v>27.2</v>
      </c>
      <c r="X18" s="71">
        <f t="shared" si="8"/>
        <v>44.590163934426229</v>
      </c>
      <c r="Y18" s="67">
        <v>100</v>
      </c>
      <c r="Z18" s="68">
        <f>5+2.1</f>
        <v>7.1</v>
      </c>
      <c r="AA18" s="98">
        <f t="shared" si="9"/>
        <v>7.1</v>
      </c>
      <c r="AB18" s="99"/>
      <c r="AC18" s="68"/>
      <c r="AD18" s="98"/>
      <c r="AE18" s="69">
        <v>9</v>
      </c>
      <c r="AF18" s="68"/>
      <c r="AG18" s="100">
        <f t="shared" si="10"/>
        <v>0</v>
      </c>
      <c r="AH18" s="130"/>
      <c r="AI18" s="132"/>
      <c r="AJ18" s="132"/>
    </row>
    <row r="19" spans="2:36" s="88" customFormat="1" ht="14.25" customHeight="1" x14ac:dyDescent="0.25">
      <c r="B19" s="101">
        <v>7</v>
      </c>
      <c r="C19" s="96" t="s">
        <v>19</v>
      </c>
      <c r="D19" s="102">
        <f t="shared" si="0"/>
        <v>775.6</v>
      </c>
      <c r="E19" s="68">
        <f t="shared" si="1"/>
        <v>816.5</v>
      </c>
      <c r="F19" s="68">
        <f t="shared" si="2"/>
        <v>105.27333677153172</v>
      </c>
      <c r="G19" s="97">
        <v>500</v>
      </c>
      <c r="H19" s="68">
        <f>0.8+144+3.2+616.4</f>
        <v>764.4</v>
      </c>
      <c r="I19" s="68">
        <f t="shared" si="11"/>
        <v>152.88</v>
      </c>
      <c r="J19" s="68">
        <f t="shared" si="3"/>
        <v>275.60000000000002</v>
      </c>
      <c r="K19" s="68">
        <f t="shared" si="4"/>
        <v>52.100000000000009</v>
      </c>
      <c r="L19" s="68">
        <f t="shared" si="5"/>
        <v>18.904208998548622</v>
      </c>
      <c r="M19" s="69">
        <v>130</v>
      </c>
      <c r="N19" s="68">
        <f>3.7+6+2+1.8+2.7+3.8+1.3+1.1+2.1+1.5</f>
        <v>26.000000000000004</v>
      </c>
      <c r="O19" s="98">
        <f t="shared" si="6"/>
        <v>20.000000000000004</v>
      </c>
      <c r="P19" s="68">
        <v>0.6</v>
      </c>
      <c r="Q19" s="68"/>
      <c r="R19" s="98">
        <f t="shared" si="12"/>
        <v>0</v>
      </c>
      <c r="S19" s="99">
        <v>25</v>
      </c>
      <c r="T19" s="68">
        <f>0.1+0.4+0.2+3.8+0.2</f>
        <v>4.7</v>
      </c>
      <c r="U19" s="98">
        <f t="shared" si="7"/>
        <v>18.8</v>
      </c>
      <c r="V19" s="99">
        <v>40</v>
      </c>
      <c r="W19" s="68">
        <f>2+1+2+0.3+16.1</f>
        <v>21.400000000000002</v>
      </c>
      <c r="X19" s="71">
        <f t="shared" si="8"/>
        <v>53.5</v>
      </c>
      <c r="Y19" s="67">
        <v>80</v>
      </c>
      <c r="Z19" s="68"/>
      <c r="AA19" s="98">
        <f t="shared" si="9"/>
        <v>0</v>
      </c>
      <c r="AB19" s="99"/>
      <c r="AC19" s="68"/>
      <c r="AD19" s="98"/>
      <c r="AE19" s="69"/>
      <c r="AF19" s="68"/>
      <c r="AG19" s="100"/>
      <c r="AH19" s="130"/>
      <c r="AI19" s="132"/>
      <c r="AJ19" s="132"/>
    </row>
    <row r="20" spans="2:36" s="88" customFormat="1" ht="14.25" customHeight="1" x14ac:dyDescent="0.25">
      <c r="B20" s="101">
        <v>8</v>
      </c>
      <c r="C20" s="96" t="s">
        <v>20</v>
      </c>
      <c r="D20" s="102">
        <f t="shared" si="0"/>
        <v>266</v>
      </c>
      <c r="E20" s="68">
        <f t="shared" si="1"/>
        <v>37.699999999999996</v>
      </c>
      <c r="F20" s="68">
        <f t="shared" si="2"/>
        <v>14.172932330827065</v>
      </c>
      <c r="G20" s="97"/>
      <c r="H20" s="68"/>
      <c r="I20" s="68"/>
      <c r="J20" s="68">
        <f t="shared" si="3"/>
        <v>266</v>
      </c>
      <c r="K20" s="68">
        <f t="shared" si="4"/>
        <v>37.699999999999996</v>
      </c>
      <c r="L20" s="68">
        <f t="shared" si="5"/>
        <v>14.172932330827065</v>
      </c>
      <c r="M20" s="69">
        <v>145</v>
      </c>
      <c r="N20" s="68">
        <f>36+0.4</f>
        <v>36.4</v>
      </c>
      <c r="O20" s="98">
        <f t="shared" si="6"/>
        <v>25.103448275862068</v>
      </c>
      <c r="P20" s="68"/>
      <c r="Q20" s="68"/>
      <c r="R20" s="98"/>
      <c r="S20" s="99">
        <v>5</v>
      </c>
      <c r="T20" s="68"/>
      <c r="U20" s="98">
        <f t="shared" si="7"/>
        <v>0</v>
      </c>
      <c r="V20" s="99">
        <v>16</v>
      </c>
      <c r="W20" s="68">
        <f>0.3+1</f>
        <v>1.3</v>
      </c>
      <c r="X20" s="71">
        <f t="shared" si="8"/>
        <v>8.125</v>
      </c>
      <c r="Y20" s="67">
        <v>100</v>
      </c>
      <c r="Z20" s="68"/>
      <c r="AA20" s="98">
        <f t="shared" si="9"/>
        <v>0</v>
      </c>
      <c r="AB20" s="99"/>
      <c r="AC20" s="68"/>
      <c r="AD20" s="98"/>
      <c r="AE20" s="69"/>
      <c r="AF20" s="68"/>
      <c r="AG20" s="100"/>
      <c r="AH20" s="130"/>
      <c r="AI20" s="132"/>
      <c r="AJ20" s="132"/>
    </row>
    <row r="21" spans="2:36" s="88" customFormat="1" ht="14.25" customHeight="1" x14ac:dyDescent="0.25">
      <c r="B21" s="101">
        <v>9</v>
      </c>
      <c r="C21" s="96" t="s">
        <v>21</v>
      </c>
      <c r="D21" s="102">
        <f t="shared" si="0"/>
        <v>4710</v>
      </c>
      <c r="E21" s="68">
        <f t="shared" si="1"/>
        <v>444.5</v>
      </c>
      <c r="F21" s="68">
        <f t="shared" si="2"/>
        <v>9.4373673036093422</v>
      </c>
      <c r="G21" s="97">
        <v>4000</v>
      </c>
      <c r="H21" s="68"/>
      <c r="I21" s="68">
        <f t="shared" si="11"/>
        <v>0</v>
      </c>
      <c r="J21" s="68">
        <f t="shared" si="3"/>
        <v>710</v>
      </c>
      <c r="K21" s="68">
        <f t="shared" si="4"/>
        <v>444.5</v>
      </c>
      <c r="L21" s="68">
        <f t="shared" si="5"/>
        <v>62.605633802816904</v>
      </c>
      <c r="M21" s="69">
        <v>455</v>
      </c>
      <c r="N21" s="68">
        <f>14.4+13+0.3+32.3+27+81.8+18+30.8+100+10.5+17+2.6+5+38+6.7+8.9+3.5</f>
        <v>409.8</v>
      </c>
      <c r="O21" s="98">
        <f t="shared" si="6"/>
        <v>90.065934065934073</v>
      </c>
      <c r="P21" s="68">
        <v>3</v>
      </c>
      <c r="Q21" s="68"/>
      <c r="R21" s="98">
        <f t="shared" si="12"/>
        <v>0</v>
      </c>
      <c r="S21" s="99">
        <v>60</v>
      </c>
      <c r="T21" s="68">
        <f>1.3+0.2+0.4</f>
        <v>1.9</v>
      </c>
      <c r="U21" s="98">
        <f t="shared" si="7"/>
        <v>3.1666666666666661</v>
      </c>
      <c r="V21" s="99">
        <v>27</v>
      </c>
      <c r="W21" s="68">
        <f>2+0.3+0.9+0.4+0.3+12+4+8.6</f>
        <v>28.5</v>
      </c>
      <c r="X21" s="71">
        <f t="shared" si="8"/>
        <v>105.55555555555556</v>
      </c>
      <c r="Y21" s="67">
        <v>100</v>
      </c>
      <c r="Z21" s="68">
        <f>3+1.3</f>
        <v>4.3</v>
      </c>
      <c r="AA21" s="98">
        <f t="shared" si="9"/>
        <v>4.3</v>
      </c>
      <c r="AB21" s="99"/>
      <c r="AC21" s="68"/>
      <c r="AD21" s="98"/>
      <c r="AE21" s="69">
        <v>65</v>
      </c>
      <c r="AF21" s="68"/>
      <c r="AG21" s="100">
        <f t="shared" si="10"/>
        <v>0</v>
      </c>
      <c r="AH21" s="130"/>
      <c r="AI21" s="132"/>
      <c r="AJ21" s="132"/>
    </row>
    <row r="22" spans="2:36" s="88" customFormat="1" ht="14.25" customHeight="1" x14ac:dyDescent="0.25">
      <c r="B22" s="101">
        <v>10</v>
      </c>
      <c r="C22" s="96" t="s">
        <v>22</v>
      </c>
      <c r="D22" s="102">
        <f t="shared" si="0"/>
        <v>4467</v>
      </c>
      <c r="E22" s="68">
        <f t="shared" si="1"/>
        <v>1983.1</v>
      </c>
      <c r="F22" s="68">
        <f t="shared" si="2"/>
        <v>44.394448175509289</v>
      </c>
      <c r="G22" s="97">
        <v>4000</v>
      </c>
      <c r="H22" s="68">
        <f>334.5+190+239.1+1146.5</f>
        <v>1910.1</v>
      </c>
      <c r="I22" s="68">
        <f t="shared" si="11"/>
        <v>47.752499999999998</v>
      </c>
      <c r="J22" s="68">
        <f t="shared" si="3"/>
        <v>467</v>
      </c>
      <c r="K22" s="68">
        <f t="shared" si="4"/>
        <v>73</v>
      </c>
      <c r="L22" s="68">
        <f t="shared" si="5"/>
        <v>15.631691648822269</v>
      </c>
      <c r="M22" s="69">
        <v>180</v>
      </c>
      <c r="N22" s="68">
        <f>20.3+2.9+4.4+2+1.3+8.6</f>
        <v>39.5</v>
      </c>
      <c r="O22" s="98">
        <f t="shared" si="6"/>
        <v>21.944444444444443</v>
      </c>
      <c r="P22" s="68">
        <v>1</v>
      </c>
      <c r="Q22" s="68"/>
      <c r="R22" s="98">
        <f t="shared" si="12"/>
        <v>0</v>
      </c>
      <c r="S22" s="99">
        <v>65</v>
      </c>
      <c r="T22" s="68">
        <f>0.4+2.1+0.6+0.4+0.3+0.3+7.3+0.2+0.2</f>
        <v>11.799999999999997</v>
      </c>
      <c r="U22" s="98">
        <f t="shared" si="7"/>
        <v>18.15384615384615</v>
      </c>
      <c r="V22" s="99">
        <v>58</v>
      </c>
      <c r="W22" s="68">
        <f>7.6+0.3+0.7+0.5</f>
        <v>9.1</v>
      </c>
      <c r="X22" s="71">
        <f t="shared" si="8"/>
        <v>15.689655172413792</v>
      </c>
      <c r="Y22" s="67">
        <v>160</v>
      </c>
      <c r="Z22" s="68">
        <f>10.8+1.8</f>
        <v>12.600000000000001</v>
      </c>
      <c r="AA22" s="98">
        <f t="shared" si="9"/>
        <v>7.8750000000000018</v>
      </c>
      <c r="AB22" s="99"/>
      <c r="AC22" s="68"/>
      <c r="AD22" s="98"/>
      <c r="AE22" s="69">
        <v>3</v>
      </c>
      <c r="AF22" s="68"/>
      <c r="AG22" s="100">
        <f t="shared" si="10"/>
        <v>0</v>
      </c>
      <c r="AH22" s="130"/>
      <c r="AI22" s="132"/>
      <c r="AJ22" s="132"/>
    </row>
    <row r="23" spans="2:36" s="88" customFormat="1" ht="15.75" customHeight="1" x14ac:dyDescent="0.25">
      <c r="B23" s="101">
        <v>11</v>
      </c>
      <c r="C23" s="96" t="s">
        <v>23</v>
      </c>
      <c r="D23" s="102">
        <f t="shared" si="0"/>
        <v>10238</v>
      </c>
      <c r="E23" s="68">
        <f t="shared" si="1"/>
        <v>1122.3999999999996</v>
      </c>
      <c r="F23" s="68">
        <f t="shared" si="2"/>
        <v>10.96307872631373</v>
      </c>
      <c r="G23" s="97">
        <v>7100</v>
      </c>
      <c r="H23" s="68">
        <f>3.8</f>
        <v>3.8</v>
      </c>
      <c r="I23" s="68">
        <f t="shared" si="11"/>
        <v>5.3521126760563378E-2</v>
      </c>
      <c r="J23" s="68">
        <f t="shared" si="3"/>
        <v>3138</v>
      </c>
      <c r="K23" s="68">
        <f t="shared" si="4"/>
        <v>1118.5999999999997</v>
      </c>
      <c r="L23" s="68">
        <f t="shared" si="5"/>
        <v>35.646908859145945</v>
      </c>
      <c r="M23" s="69">
        <v>1827</v>
      </c>
      <c r="N23" s="68">
        <f>14.3+27.9+14.3+15.2+16+38.3+70+106.9+81+60+13.6+43+0.1+25.5+7.1+263.5+0.3+1.3+33.2+93.4+7.3</f>
        <v>932.19999999999993</v>
      </c>
      <c r="O23" s="98">
        <f t="shared" si="6"/>
        <v>51.023535851122062</v>
      </c>
      <c r="P23" s="68">
        <v>21</v>
      </c>
      <c r="Q23" s="68"/>
      <c r="R23" s="98">
        <f t="shared" si="12"/>
        <v>0</v>
      </c>
      <c r="S23" s="99">
        <v>180</v>
      </c>
      <c r="T23" s="68">
        <f>7.2+3.8+0.2+1.1+1.1+0.2+4.6+5.3-2+0.8+0.2+1.8+0.6+2.7+0.2+3.5+2</f>
        <v>33.299999999999997</v>
      </c>
      <c r="U23" s="98">
        <f t="shared" si="7"/>
        <v>18.5</v>
      </c>
      <c r="V23" s="99">
        <v>120</v>
      </c>
      <c r="W23" s="68">
        <f>3+2+2+1+2+2+1+13+0.3+4.9+0.9+6.2+1</f>
        <v>39.300000000000004</v>
      </c>
      <c r="X23" s="71">
        <f t="shared" si="8"/>
        <v>32.75</v>
      </c>
      <c r="Y23" s="67">
        <v>220</v>
      </c>
      <c r="Z23" s="68">
        <f>39.5</f>
        <v>39.5</v>
      </c>
      <c r="AA23" s="98">
        <f t="shared" si="9"/>
        <v>17.954545454545453</v>
      </c>
      <c r="AB23" s="99"/>
      <c r="AC23" s="68"/>
      <c r="AD23" s="98"/>
      <c r="AE23" s="69">
        <v>770</v>
      </c>
      <c r="AF23" s="68">
        <f>58+9.7+6.6</f>
        <v>74.3</v>
      </c>
      <c r="AG23" s="100">
        <f t="shared" si="10"/>
        <v>9.6493506493506498</v>
      </c>
      <c r="AH23" s="130"/>
      <c r="AI23" s="132"/>
      <c r="AJ23" s="132"/>
    </row>
    <row r="24" spans="2:36" s="88" customFormat="1" ht="14.25" customHeight="1" x14ac:dyDescent="0.25">
      <c r="B24" s="101">
        <v>12</v>
      </c>
      <c r="C24" s="96" t="s">
        <v>24</v>
      </c>
      <c r="D24" s="102">
        <f t="shared" si="0"/>
        <v>1822</v>
      </c>
      <c r="E24" s="68">
        <f t="shared" si="1"/>
        <v>153.6</v>
      </c>
      <c r="F24" s="68">
        <f t="shared" si="2"/>
        <v>8.430296377607025</v>
      </c>
      <c r="G24" s="97">
        <v>1000</v>
      </c>
      <c r="H24" s="68">
        <f>11.1</f>
        <v>11.1</v>
      </c>
      <c r="I24" s="68">
        <f t="shared" si="11"/>
        <v>1.1100000000000001</v>
      </c>
      <c r="J24" s="68">
        <f t="shared" si="3"/>
        <v>822</v>
      </c>
      <c r="K24" s="68">
        <f t="shared" si="4"/>
        <v>142.5</v>
      </c>
      <c r="L24" s="68">
        <f t="shared" si="5"/>
        <v>17.335766423357665</v>
      </c>
      <c r="M24" s="69">
        <v>528</v>
      </c>
      <c r="N24" s="68">
        <f>31.5+4.5+2.3+1.5-0.2+61+6.1</f>
        <v>106.69999999999999</v>
      </c>
      <c r="O24" s="98">
        <f t="shared" si="6"/>
        <v>20.208333333333332</v>
      </c>
      <c r="P24" s="68">
        <v>8</v>
      </c>
      <c r="Q24" s="68"/>
      <c r="R24" s="98">
        <f t="shared" si="12"/>
        <v>0</v>
      </c>
      <c r="S24" s="99">
        <v>30</v>
      </c>
      <c r="T24" s="68">
        <f>0.4+0.2+0.3+2.6+0.5+0.1+3.8+0.6+0.6+0.3</f>
        <v>9.4</v>
      </c>
      <c r="U24" s="98">
        <f t="shared" si="7"/>
        <v>31.333333333333336</v>
      </c>
      <c r="V24" s="99">
        <v>36</v>
      </c>
      <c r="W24" s="68">
        <f>2+2+2+2.6+12+1+4.8</f>
        <v>26.400000000000002</v>
      </c>
      <c r="X24" s="71">
        <f t="shared" si="8"/>
        <v>73.333333333333343</v>
      </c>
      <c r="Y24" s="67">
        <v>150</v>
      </c>
      <c r="Z24" s="68"/>
      <c r="AA24" s="98">
        <f t="shared" si="9"/>
        <v>0</v>
      </c>
      <c r="AB24" s="99"/>
      <c r="AC24" s="68"/>
      <c r="AD24" s="98"/>
      <c r="AE24" s="69">
        <v>70</v>
      </c>
      <c r="AF24" s="68"/>
      <c r="AG24" s="100">
        <f t="shared" si="10"/>
        <v>0</v>
      </c>
      <c r="AH24" s="130"/>
      <c r="AI24" s="132"/>
      <c r="AJ24" s="132"/>
    </row>
    <row r="25" spans="2:36" s="88" customFormat="1" ht="14.25" customHeight="1" x14ac:dyDescent="0.25">
      <c r="B25" s="101">
        <v>13</v>
      </c>
      <c r="C25" s="96" t="s">
        <v>25</v>
      </c>
      <c r="D25" s="102">
        <f t="shared" si="0"/>
        <v>6273</v>
      </c>
      <c r="E25" s="68">
        <f t="shared" si="1"/>
        <v>169.5</v>
      </c>
      <c r="F25" s="68">
        <f t="shared" si="2"/>
        <v>2.7020564323290293</v>
      </c>
      <c r="G25" s="97">
        <v>4000</v>
      </c>
      <c r="H25" s="68">
        <f>4.3+4.3</f>
        <v>8.6</v>
      </c>
      <c r="I25" s="68">
        <f t="shared" si="11"/>
        <v>0.215</v>
      </c>
      <c r="J25" s="68">
        <f t="shared" si="3"/>
        <v>2273</v>
      </c>
      <c r="K25" s="68">
        <f t="shared" si="4"/>
        <v>160.9</v>
      </c>
      <c r="L25" s="68">
        <f t="shared" si="5"/>
        <v>7.078750549934008</v>
      </c>
      <c r="M25" s="69">
        <v>1003</v>
      </c>
      <c r="N25" s="68">
        <f>4.2+4.2+7.3+100</f>
        <v>115.7</v>
      </c>
      <c r="O25" s="98">
        <f t="shared" si="6"/>
        <v>11.535393818544367</v>
      </c>
      <c r="P25" s="68">
        <v>10</v>
      </c>
      <c r="Q25" s="68"/>
      <c r="R25" s="98">
        <f t="shared" si="12"/>
        <v>0</v>
      </c>
      <c r="S25" s="99">
        <v>130</v>
      </c>
      <c r="T25" s="68">
        <f>0.5+0.4+0.4+0.3+0.1</f>
        <v>1.7000000000000002</v>
      </c>
      <c r="U25" s="98">
        <f t="shared" si="7"/>
        <v>1.3076923076923077</v>
      </c>
      <c r="V25" s="99">
        <v>60</v>
      </c>
      <c r="W25" s="68">
        <f>1+0.5+9.9+1.1+0.9+4.5+2</f>
        <v>19.899999999999999</v>
      </c>
      <c r="X25" s="71">
        <f t="shared" si="8"/>
        <v>33.166666666666664</v>
      </c>
      <c r="Y25" s="67">
        <v>70</v>
      </c>
      <c r="Z25" s="68">
        <f>21.6+2</f>
        <v>23.6</v>
      </c>
      <c r="AA25" s="98">
        <f t="shared" si="9"/>
        <v>33.714285714285722</v>
      </c>
      <c r="AB25" s="99"/>
      <c r="AC25" s="68"/>
      <c r="AD25" s="98"/>
      <c r="AE25" s="69">
        <v>1000</v>
      </c>
      <c r="AF25" s="68"/>
      <c r="AG25" s="100">
        <f t="shared" si="10"/>
        <v>0</v>
      </c>
      <c r="AH25" s="130"/>
      <c r="AI25" s="132"/>
      <c r="AJ25" s="132"/>
    </row>
    <row r="26" spans="2:36" s="88" customFormat="1" ht="14.25" customHeight="1" x14ac:dyDescent="0.25">
      <c r="B26" s="101">
        <v>14</v>
      </c>
      <c r="C26" s="96" t="s">
        <v>26</v>
      </c>
      <c r="D26" s="102">
        <f t="shared" si="0"/>
        <v>10232</v>
      </c>
      <c r="E26" s="68">
        <f t="shared" si="1"/>
        <v>16368.300000000001</v>
      </c>
      <c r="F26" s="68">
        <f t="shared" si="2"/>
        <v>159.97165754495703</v>
      </c>
      <c r="G26" s="97">
        <v>9000</v>
      </c>
      <c r="H26" s="68">
        <f>1069.5+368.3+1942+137+1939+833.5+976.5+1653+676+821+1068.1+1170.9+220+1485.7+1825.6</f>
        <v>16186.1</v>
      </c>
      <c r="I26" s="68">
        <f t="shared" si="11"/>
        <v>179.84555555555556</v>
      </c>
      <c r="J26" s="68">
        <f t="shared" si="3"/>
        <v>1232</v>
      </c>
      <c r="K26" s="68">
        <f t="shared" si="4"/>
        <v>182.2</v>
      </c>
      <c r="L26" s="68">
        <f t="shared" si="5"/>
        <v>14.788961038961038</v>
      </c>
      <c r="M26" s="69">
        <v>305</v>
      </c>
      <c r="N26" s="68">
        <f>10.1+26+2.5+19.7+1+6.1+1.2+1+2.5+0.8-25.9</f>
        <v>44.999999999999993</v>
      </c>
      <c r="O26" s="98">
        <f t="shared" si="6"/>
        <v>14.754098360655735</v>
      </c>
      <c r="P26" s="68">
        <v>23</v>
      </c>
      <c r="Q26" s="68"/>
      <c r="R26" s="98">
        <f t="shared" si="12"/>
        <v>0</v>
      </c>
      <c r="S26" s="99">
        <v>160</v>
      </c>
      <c r="T26" s="68">
        <f>2.1+7+2.2+11.1+11+4.9+5.6+4.8+4.8+6+4.8+3.9+0.3+1.2+11.3+1.3+8.7+10.7</f>
        <v>101.7</v>
      </c>
      <c r="U26" s="98">
        <f t="shared" si="7"/>
        <v>63.5625</v>
      </c>
      <c r="V26" s="99">
        <v>56</v>
      </c>
      <c r="W26" s="68">
        <f>0.5+0.3+1+1+1+18.1+2+7.6</f>
        <v>31.5</v>
      </c>
      <c r="X26" s="71">
        <f t="shared" si="8"/>
        <v>56.25</v>
      </c>
      <c r="Y26" s="67">
        <v>200</v>
      </c>
      <c r="Z26" s="68">
        <f>4</f>
        <v>4</v>
      </c>
      <c r="AA26" s="98">
        <f t="shared" si="9"/>
        <v>2</v>
      </c>
      <c r="AB26" s="99"/>
      <c r="AC26" s="68"/>
      <c r="AD26" s="98"/>
      <c r="AE26" s="69">
        <v>488</v>
      </c>
      <c r="AF26" s="68"/>
      <c r="AG26" s="100">
        <f t="shared" si="10"/>
        <v>0</v>
      </c>
      <c r="AH26" s="130"/>
      <c r="AI26" s="132"/>
      <c r="AJ26" s="132"/>
    </row>
    <row r="27" spans="2:36" s="88" customFormat="1" ht="14.25" customHeight="1" x14ac:dyDescent="0.25">
      <c r="B27" s="101">
        <v>15</v>
      </c>
      <c r="C27" s="96" t="s">
        <v>27</v>
      </c>
      <c r="D27" s="102">
        <f t="shared" si="0"/>
        <v>1287.8</v>
      </c>
      <c r="E27" s="68">
        <f t="shared" si="1"/>
        <v>13.899999999999999</v>
      </c>
      <c r="F27" s="68">
        <f t="shared" si="2"/>
        <v>1.0793601490914737</v>
      </c>
      <c r="G27" s="97">
        <v>1000</v>
      </c>
      <c r="H27" s="68"/>
      <c r="I27" s="68">
        <f t="shared" si="11"/>
        <v>0</v>
      </c>
      <c r="J27" s="68">
        <f t="shared" si="3"/>
        <v>287.8</v>
      </c>
      <c r="K27" s="68">
        <f t="shared" si="4"/>
        <v>13.899999999999999</v>
      </c>
      <c r="L27" s="68">
        <f t="shared" si="5"/>
        <v>4.8297428769979147</v>
      </c>
      <c r="M27" s="69">
        <v>83</v>
      </c>
      <c r="N27" s="68">
        <f>0.5+2.3+0.5</f>
        <v>3.3</v>
      </c>
      <c r="O27" s="98">
        <f t="shared" si="6"/>
        <v>3.975903614457831</v>
      </c>
      <c r="P27" s="68">
        <v>0.8</v>
      </c>
      <c r="Q27" s="68"/>
      <c r="R27" s="98">
        <f t="shared" si="12"/>
        <v>0</v>
      </c>
      <c r="S27" s="99">
        <v>60</v>
      </c>
      <c r="T27" s="68"/>
      <c r="U27" s="98">
        <f t="shared" si="7"/>
        <v>0</v>
      </c>
      <c r="V27" s="99">
        <v>24</v>
      </c>
      <c r="W27" s="68">
        <f>0.3+1.6+2.5+2.5</f>
        <v>6.9</v>
      </c>
      <c r="X27" s="71">
        <f t="shared" si="8"/>
        <v>28.750000000000004</v>
      </c>
      <c r="Y27" s="67">
        <v>120</v>
      </c>
      <c r="Z27" s="68">
        <f>3.7</f>
        <v>3.7</v>
      </c>
      <c r="AA27" s="98">
        <f t="shared" si="9"/>
        <v>3.0833333333333335</v>
      </c>
      <c r="AB27" s="99"/>
      <c r="AC27" s="68"/>
      <c r="AD27" s="98"/>
      <c r="AE27" s="69"/>
      <c r="AF27" s="68"/>
      <c r="AG27" s="100"/>
      <c r="AH27" s="130"/>
      <c r="AI27" s="132"/>
      <c r="AJ27" s="132"/>
    </row>
    <row r="28" spans="2:36" s="88" customFormat="1" ht="14.25" customHeight="1" x14ac:dyDescent="0.25">
      <c r="B28" s="101">
        <v>16</v>
      </c>
      <c r="C28" s="96" t="s">
        <v>29</v>
      </c>
      <c r="D28" s="102">
        <f t="shared" si="0"/>
        <v>14060</v>
      </c>
      <c r="E28" s="68">
        <f t="shared" si="1"/>
        <v>388.1</v>
      </c>
      <c r="F28" s="68">
        <f t="shared" si="2"/>
        <v>2.7603129445234709</v>
      </c>
      <c r="G28" s="97">
        <v>12500</v>
      </c>
      <c r="H28" s="68"/>
      <c r="I28" s="68">
        <f t="shared" si="11"/>
        <v>0</v>
      </c>
      <c r="J28" s="68">
        <f t="shared" si="3"/>
        <v>1560</v>
      </c>
      <c r="K28" s="68">
        <f t="shared" si="4"/>
        <v>388.1</v>
      </c>
      <c r="L28" s="68">
        <f t="shared" si="5"/>
        <v>24.878205128205131</v>
      </c>
      <c r="M28" s="69">
        <v>935</v>
      </c>
      <c r="N28" s="68">
        <f>16.2+24.7+37+16+10.4+21.3+20.8+4.5+6.2+12.5+11+3.3+7.9+75.2+2.5</f>
        <v>269.5</v>
      </c>
      <c r="O28" s="98">
        <f t="shared" si="6"/>
        <v>28.823529411764703</v>
      </c>
      <c r="P28" s="68">
        <v>15</v>
      </c>
      <c r="Q28" s="68"/>
      <c r="R28" s="98">
        <f t="shared" si="12"/>
        <v>0</v>
      </c>
      <c r="S28" s="99">
        <v>130</v>
      </c>
      <c r="T28" s="68">
        <f>0.2+0.4+0.1+0.7+0.1</f>
        <v>1.5</v>
      </c>
      <c r="U28" s="98">
        <f t="shared" si="7"/>
        <v>1.153846153846154</v>
      </c>
      <c r="V28" s="99">
        <v>250</v>
      </c>
      <c r="W28" s="68">
        <f>1+36+2+47.7+1+19.1+6.8+2+1.5</f>
        <v>117.10000000000001</v>
      </c>
      <c r="X28" s="71">
        <f t="shared" si="8"/>
        <v>46.84</v>
      </c>
      <c r="Y28" s="67">
        <v>160</v>
      </c>
      <c r="Z28" s="68"/>
      <c r="AA28" s="98">
        <f t="shared" si="9"/>
        <v>0</v>
      </c>
      <c r="AB28" s="99"/>
      <c r="AC28" s="68"/>
      <c r="AD28" s="98"/>
      <c r="AE28" s="69">
        <v>70</v>
      </c>
      <c r="AF28" s="68"/>
      <c r="AG28" s="100">
        <f t="shared" si="10"/>
        <v>0</v>
      </c>
      <c r="AH28" s="130"/>
      <c r="AI28" s="132"/>
      <c r="AJ28" s="132"/>
    </row>
    <row r="29" spans="2:36" s="88" customFormat="1" ht="14.25" customHeight="1" x14ac:dyDescent="0.25">
      <c r="B29" s="101">
        <v>17</v>
      </c>
      <c r="C29" s="96" t="s">
        <v>28</v>
      </c>
      <c r="D29" s="102">
        <f t="shared" si="0"/>
        <v>11570</v>
      </c>
      <c r="E29" s="68">
        <f t="shared" si="1"/>
        <v>858.9</v>
      </c>
      <c r="F29" s="68">
        <f t="shared" si="2"/>
        <v>7.4235090751944677</v>
      </c>
      <c r="G29" s="97">
        <v>10000</v>
      </c>
      <c r="H29" s="68"/>
      <c r="I29" s="68">
        <f t="shared" si="11"/>
        <v>0</v>
      </c>
      <c r="J29" s="68">
        <f t="shared" si="3"/>
        <v>1570</v>
      </c>
      <c r="K29" s="68">
        <f t="shared" si="4"/>
        <v>858.9</v>
      </c>
      <c r="L29" s="68">
        <f t="shared" si="5"/>
        <v>54.70700636942675</v>
      </c>
      <c r="M29" s="69">
        <v>1245</v>
      </c>
      <c r="N29" s="68">
        <f>2.8+2.3+0.9+1.3+2+4.1+3.1+6.9+2.9+10+14.1+0.8+28+1.4+670.9+31.8</f>
        <v>783.3</v>
      </c>
      <c r="O29" s="98">
        <f t="shared" si="6"/>
        <v>62.915662650602414</v>
      </c>
      <c r="P29" s="68">
        <v>10</v>
      </c>
      <c r="Q29" s="68">
        <f>0.9</f>
        <v>0.9</v>
      </c>
      <c r="R29" s="98">
        <f t="shared" si="12"/>
        <v>9</v>
      </c>
      <c r="S29" s="99">
        <v>120</v>
      </c>
      <c r="T29" s="68">
        <f>0.6+0.5+0.5</f>
        <v>1.6</v>
      </c>
      <c r="U29" s="98">
        <f t="shared" si="7"/>
        <v>1.3333333333333335</v>
      </c>
      <c r="V29" s="99">
        <v>45</v>
      </c>
      <c r="W29" s="68">
        <f>0.3+0.3+1+10.6+0.9+1</f>
        <v>14.1</v>
      </c>
      <c r="X29" s="71">
        <f t="shared" si="8"/>
        <v>31.333333333333336</v>
      </c>
      <c r="Y29" s="67">
        <v>70</v>
      </c>
      <c r="Z29" s="68"/>
      <c r="AA29" s="98">
        <f t="shared" si="9"/>
        <v>0</v>
      </c>
      <c r="AB29" s="99"/>
      <c r="AC29" s="68"/>
      <c r="AD29" s="98"/>
      <c r="AE29" s="69">
        <v>80</v>
      </c>
      <c r="AF29" s="68">
        <f>9.2+49.8</f>
        <v>59</v>
      </c>
      <c r="AG29" s="100">
        <f t="shared" si="10"/>
        <v>73.75</v>
      </c>
      <c r="AH29" s="130"/>
      <c r="AI29" s="132"/>
      <c r="AJ29" s="132"/>
    </row>
    <row r="30" spans="2:36" s="88" customFormat="1" ht="14.25" customHeight="1" x14ac:dyDescent="0.25">
      <c r="B30" s="101">
        <v>18</v>
      </c>
      <c r="C30" s="96" t="s">
        <v>30</v>
      </c>
      <c r="D30" s="102">
        <f t="shared" si="0"/>
        <v>1054.5</v>
      </c>
      <c r="E30" s="68">
        <f t="shared" si="1"/>
        <v>88.4</v>
      </c>
      <c r="F30" s="68">
        <f t="shared" si="2"/>
        <v>8.3831199620673313</v>
      </c>
      <c r="G30" s="97">
        <v>500</v>
      </c>
      <c r="H30" s="68"/>
      <c r="I30" s="68">
        <f t="shared" si="11"/>
        <v>0</v>
      </c>
      <c r="J30" s="68">
        <f t="shared" si="3"/>
        <v>554.5</v>
      </c>
      <c r="K30" s="68">
        <f t="shared" si="4"/>
        <v>88.4</v>
      </c>
      <c r="L30" s="68">
        <f t="shared" si="5"/>
        <v>15.94229035166817</v>
      </c>
      <c r="M30" s="69">
        <v>320</v>
      </c>
      <c r="N30" s="68">
        <f>5.4+29.3+36.8+1.7+1.5</f>
        <v>74.7</v>
      </c>
      <c r="O30" s="98">
        <f t="shared" si="6"/>
        <v>23.343750000000004</v>
      </c>
      <c r="P30" s="68">
        <v>0.5</v>
      </c>
      <c r="Q30" s="68"/>
      <c r="R30" s="98">
        <f t="shared" si="12"/>
        <v>0</v>
      </c>
      <c r="S30" s="99">
        <v>20</v>
      </c>
      <c r="T30" s="68">
        <f>0.5</f>
        <v>0.5</v>
      </c>
      <c r="U30" s="98">
        <f t="shared" si="7"/>
        <v>2.5</v>
      </c>
      <c r="V30" s="99">
        <v>50</v>
      </c>
      <c r="W30" s="68">
        <f>1.5+11.2+0.5</f>
        <v>13.2</v>
      </c>
      <c r="X30" s="71">
        <f t="shared" si="8"/>
        <v>26.400000000000002</v>
      </c>
      <c r="Y30" s="67">
        <v>130</v>
      </c>
      <c r="Z30" s="68"/>
      <c r="AA30" s="98">
        <f t="shared" si="9"/>
        <v>0</v>
      </c>
      <c r="AB30" s="99"/>
      <c r="AC30" s="68"/>
      <c r="AD30" s="98"/>
      <c r="AE30" s="69">
        <v>34</v>
      </c>
      <c r="AF30" s="68"/>
      <c r="AG30" s="100">
        <f t="shared" si="10"/>
        <v>0</v>
      </c>
      <c r="AH30" s="130"/>
      <c r="AI30" s="132"/>
      <c r="AJ30" s="132"/>
    </row>
    <row r="31" spans="2:36" s="88" customFormat="1" ht="14.25" customHeight="1" x14ac:dyDescent="0.25">
      <c r="B31" s="101">
        <v>19</v>
      </c>
      <c r="C31" s="96" t="s">
        <v>31</v>
      </c>
      <c r="D31" s="102">
        <f t="shared" si="0"/>
        <v>6165.6399999999994</v>
      </c>
      <c r="E31" s="68">
        <f t="shared" si="1"/>
        <v>99.700000000000017</v>
      </c>
      <c r="F31" s="68">
        <f t="shared" si="2"/>
        <v>1.6170259697290148</v>
      </c>
      <c r="G31" s="97">
        <v>4700</v>
      </c>
      <c r="H31" s="68"/>
      <c r="I31" s="68">
        <f t="shared" si="11"/>
        <v>0</v>
      </c>
      <c r="J31" s="68">
        <f t="shared" si="3"/>
        <v>1465.6399999999999</v>
      </c>
      <c r="K31" s="68">
        <f t="shared" si="4"/>
        <v>99.700000000000017</v>
      </c>
      <c r="L31" s="68">
        <f t="shared" si="5"/>
        <v>6.8024890150378008</v>
      </c>
      <c r="M31" s="69">
        <v>905</v>
      </c>
      <c r="N31" s="68">
        <f>10.8+4+17.4+0.9+24+2.8+13.5+0.7</f>
        <v>74.100000000000009</v>
      </c>
      <c r="O31" s="98">
        <f t="shared" si="6"/>
        <v>8.1878453038674035</v>
      </c>
      <c r="P31" s="68">
        <v>13.64</v>
      </c>
      <c r="Q31" s="68"/>
      <c r="R31" s="98">
        <f t="shared" si="12"/>
        <v>0</v>
      </c>
      <c r="S31" s="99">
        <v>100</v>
      </c>
      <c r="T31" s="68">
        <f>0.4+3.9+0.6+0.4+0.5+2.2+0.2+1+1.3+0.3-0.1</f>
        <v>10.700000000000001</v>
      </c>
      <c r="U31" s="98">
        <f>(T31/S31)*100</f>
        <v>10.700000000000001</v>
      </c>
      <c r="V31" s="99">
        <v>57</v>
      </c>
      <c r="W31" s="68">
        <f>2+7.6+2+0.3+2+1</f>
        <v>14.9</v>
      </c>
      <c r="X31" s="71">
        <f t="shared" si="8"/>
        <v>26.140350877192979</v>
      </c>
      <c r="Y31" s="67">
        <v>90</v>
      </c>
      <c r="Z31" s="68"/>
      <c r="AA31" s="98">
        <f t="shared" si="9"/>
        <v>0</v>
      </c>
      <c r="AB31" s="99"/>
      <c r="AC31" s="68"/>
      <c r="AD31" s="98"/>
      <c r="AE31" s="69">
        <v>300</v>
      </c>
      <c r="AF31" s="68"/>
      <c r="AG31" s="100">
        <f t="shared" si="10"/>
        <v>0</v>
      </c>
      <c r="AH31" s="130"/>
      <c r="AI31" s="132"/>
      <c r="AJ31" s="132"/>
    </row>
    <row r="32" spans="2:36" s="88" customFormat="1" ht="13.5" customHeight="1" x14ac:dyDescent="0.25">
      <c r="B32" s="101">
        <v>20</v>
      </c>
      <c r="C32" s="96" t="s">
        <v>32</v>
      </c>
      <c r="D32" s="102">
        <f t="shared" si="0"/>
        <v>2505</v>
      </c>
      <c r="E32" s="68">
        <f t="shared" si="1"/>
        <v>5360.4000000000015</v>
      </c>
      <c r="F32" s="68">
        <f t="shared" si="2"/>
        <v>213.98802395209589</v>
      </c>
      <c r="G32" s="97">
        <v>2000</v>
      </c>
      <c r="H32" s="68">
        <f>757.6+643.6+1142.4+791.3+394.8+28.5+683+219.5+625.6</f>
        <v>5286.3000000000011</v>
      </c>
      <c r="I32" s="68">
        <f t="shared" si="11"/>
        <v>264.31500000000005</v>
      </c>
      <c r="J32" s="68">
        <f t="shared" si="3"/>
        <v>505</v>
      </c>
      <c r="K32" s="68">
        <f t="shared" si="4"/>
        <v>74.100000000000051</v>
      </c>
      <c r="L32" s="68">
        <f t="shared" si="5"/>
        <v>14.673267326732683</v>
      </c>
      <c r="M32" s="69">
        <v>180</v>
      </c>
      <c r="N32" s="68">
        <f>6.2+4.2+2.1+1.7+1.5+2+4.5+4.1</f>
        <v>26.299999999999997</v>
      </c>
      <c r="O32" s="98">
        <f t="shared" si="6"/>
        <v>14.611111111111111</v>
      </c>
      <c r="P32" s="68">
        <v>9</v>
      </c>
      <c r="Q32" s="68"/>
      <c r="R32" s="98">
        <f t="shared" si="12"/>
        <v>0</v>
      </c>
      <c r="S32" s="99">
        <v>60</v>
      </c>
      <c r="T32" s="68">
        <f>401.6+3.6+6.7+4.6-394.5+0.4+1.3+3.5</f>
        <v>27.200000000000056</v>
      </c>
      <c r="U32" s="98">
        <f t="shared" si="7"/>
        <v>45.333333333333428</v>
      </c>
      <c r="V32" s="99">
        <v>51</v>
      </c>
      <c r="W32" s="68">
        <f>0.3+9.7+1.3+2.3+1.2+3+2.8</f>
        <v>20.6</v>
      </c>
      <c r="X32" s="71">
        <f t="shared" si="8"/>
        <v>40.392156862745097</v>
      </c>
      <c r="Y32" s="67">
        <v>70</v>
      </c>
      <c r="Z32" s="68"/>
      <c r="AA32" s="98">
        <f t="shared" si="9"/>
        <v>0</v>
      </c>
      <c r="AB32" s="99"/>
      <c r="AC32" s="68"/>
      <c r="AD32" s="98"/>
      <c r="AE32" s="69">
        <v>135</v>
      </c>
      <c r="AF32" s="68"/>
      <c r="AG32" s="100">
        <f t="shared" si="10"/>
        <v>0</v>
      </c>
      <c r="AH32" s="130"/>
      <c r="AI32" s="132"/>
      <c r="AJ32" s="132"/>
    </row>
    <row r="33" spans="2:36" s="88" customFormat="1" ht="14.25" customHeight="1" x14ac:dyDescent="0.25">
      <c r="B33" s="101">
        <v>21</v>
      </c>
      <c r="C33" s="96" t="s">
        <v>33</v>
      </c>
      <c r="D33" s="102">
        <f t="shared" si="0"/>
        <v>1637.9</v>
      </c>
      <c r="E33" s="68">
        <f t="shared" si="1"/>
        <v>828.1</v>
      </c>
      <c r="F33" s="68">
        <f t="shared" si="2"/>
        <v>50.558642163746256</v>
      </c>
      <c r="G33" s="97">
        <v>1000</v>
      </c>
      <c r="H33" s="68">
        <f>305+60</f>
        <v>365</v>
      </c>
      <c r="I33" s="68">
        <f t="shared" si="11"/>
        <v>36.5</v>
      </c>
      <c r="J33" s="68">
        <f t="shared" si="3"/>
        <v>637.9</v>
      </c>
      <c r="K33" s="68">
        <f t="shared" si="4"/>
        <v>463.1</v>
      </c>
      <c r="L33" s="68">
        <f t="shared" si="5"/>
        <v>72.59758582849976</v>
      </c>
      <c r="M33" s="69">
        <v>415</v>
      </c>
      <c r="N33" s="68">
        <f>0.4+3.6+450+3.7</f>
        <v>457.7</v>
      </c>
      <c r="O33" s="98">
        <f t="shared" si="6"/>
        <v>110.28915662650603</v>
      </c>
      <c r="P33" s="68">
        <v>0.9</v>
      </c>
      <c r="Q33" s="68"/>
      <c r="R33" s="98">
        <f t="shared" si="12"/>
        <v>0</v>
      </c>
      <c r="S33" s="99">
        <v>30</v>
      </c>
      <c r="T33" s="68">
        <f>1.8</f>
        <v>1.8</v>
      </c>
      <c r="U33" s="98">
        <f t="shared" si="7"/>
        <v>6.0000000000000009</v>
      </c>
      <c r="V33" s="99">
        <v>32</v>
      </c>
      <c r="W33" s="68">
        <f>2.7+0.6+0.3</f>
        <v>3.6</v>
      </c>
      <c r="X33" s="71">
        <f t="shared" si="8"/>
        <v>11.25</v>
      </c>
      <c r="Y33" s="67">
        <v>150</v>
      </c>
      <c r="Z33" s="68"/>
      <c r="AA33" s="98">
        <f t="shared" si="9"/>
        <v>0</v>
      </c>
      <c r="AB33" s="99"/>
      <c r="AC33" s="68"/>
      <c r="AD33" s="98"/>
      <c r="AE33" s="69">
        <v>10</v>
      </c>
      <c r="AF33" s="68"/>
      <c r="AG33" s="100">
        <f t="shared" si="10"/>
        <v>0</v>
      </c>
      <c r="AH33" s="130"/>
      <c r="AI33" s="132"/>
      <c r="AJ33" s="132"/>
    </row>
    <row r="34" spans="2:36" s="88" customFormat="1" ht="14.25" customHeight="1" x14ac:dyDescent="0.25">
      <c r="B34" s="101">
        <v>22</v>
      </c>
      <c r="C34" s="96" t="s">
        <v>34</v>
      </c>
      <c r="D34" s="102">
        <f t="shared" si="0"/>
        <v>1175.5</v>
      </c>
      <c r="E34" s="68">
        <f t="shared" si="1"/>
        <v>270</v>
      </c>
      <c r="F34" s="68">
        <f t="shared" si="2"/>
        <v>22.968949383241174</v>
      </c>
      <c r="G34" s="97">
        <v>500</v>
      </c>
      <c r="H34" s="68">
        <f>9+38.6</f>
        <v>47.6</v>
      </c>
      <c r="I34" s="68">
        <f t="shared" si="11"/>
        <v>9.5200000000000014</v>
      </c>
      <c r="J34" s="68">
        <f t="shared" si="3"/>
        <v>675.5</v>
      </c>
      <c r="K34" s="68">
        <f t="shared" si="4"/>
        <v>222.39999999999998</v>
      </c>
      <c r="L34" s="68">
        <f t="shared" si="5"/>
        <v>32.92376017764618</v>
      </c>
      <c r="M34" s="69">
        <v>240</v>
      </c>
      <c r="N34" s="68">
        <f>1+0.2+164.6+2.7</f>
        <v>168.49999999999997</v>
      </c>
      <c r="O34" s="98">
        <f t="shared" si="6"/>
        <v>70.208333333333314</v>
      </c>
      <c r="P34" s="68">
        <v>0.5</v>
      </c>
      <c r="Q34" s="68"/>
      <c r="R34" s="98">
        <f t="shared" si="12"/>
        <v>0</v>
      </c>
      <c r="S34" s="99">
        <v>25</v>
      </c>
      <c r="T34" s="68">
        <f>0.2+0.2+0.1</f>
        <v>0.5</v>
      </c>
      <c r="U34" s="98">
        <f t="shared" si="7"/>
        <v>2</v>
      </c>
      <c r="V34" s="99">
        <v>80</v>
      </c>
      <c r="W34" s="68">
        <f>4+2+3.2+0.8+0.6+2</f>
        <v>12.6</v>
      </c>
      <c r="X34" s="71">
        <f t="shared" si="8"/>
        <v>15.75</v>
      </c>
      <c r="Y34" s="67">
        <v>180</v>
      </c>
      <c r="Z34" s="68">
        <f>40+0.8</f>
        <v>40.799999999999997</v>
      </c>
      <c r="AA34" s="98">
        <f t="shared" si="9"/>
        <v>22.666666666666664</v>
      </c>
      <c r="AB34" s="99"/>
      <c r="AC34" s="68"/>
      <c r="AD34" s="98"/>
      <c r="AE34" s="69">
        <v>150</v>
      </c>
      <c r="AF34" s="68"/>
      <c r="AG34" s="100">
        <f t="shared" si="10"/>
        <v>0</v>
      </c>
      <c r="AH34" s="130"/>
      <c r="AI34" s="132"/>
      <c r="AJ34" s="132"/>
    </row>
    <row r="35" spans="2:36" s="88" customFormat="1" ht="14.25" customHeight="1" x14ac:dyDescent="0.25">
      <c r="B35" s="101">
        <v>23</v>
      </c>
      <c r="C35" s="96" t="s">
        <v>35</v>
      </c>
      <c r="D35" s="102">
        <f t="shared" si="0"/>
        <v>260</v>
      </c>
      <c r="E35" s="68">
        <f t="shared" si="1"/>
        <v>50.499999999999993</v>
      </c>
      <c r="F35" s="68">
        <f t="shared" si="2"/>
        <v>19.42307692307692</v>
      </c>
      <c r="G35" s="97"/>
      <c r="H35" s="68"/>
      <c r="I35" s="68"/>
      <c r="J35" s="68">
        <f t="shared" si="3"/>
        <v>260</v>
      </c>
      <c r="K35" s="68">
        <f t="shared" si="4"/>
        <v>50.499999999999993</v>
      </c>
      <c r="L35" s="68">
        <f t="shared" si="5"/>
        <v>19.42307692307692</v>
      </c>
      <c r="M35" s="69">
        <v>100</v>
      </c>
      <c r="N35" s="68">
        <f>29.2+16.9</f>
        <v>46.099999999999994</v>
      </c>
      <c r="O35" s="98">
        <f t="shared" si="6"/>
        <v>46.099999999999994</v>
      </c>
      <c r="P35" s="68"/>
      <c r="Q35" s="68"/>
      <c r="R35" s="98"/>
      <c r="S35" s="99">
        <v>10</v>
      </c>
      <c r="T35" s="68">
        <f>0.1</f>
        <v>0.1</v>
      </c>
      <c r="U35" s="98">
        <f t="shared" si="7"/>
        <v>1</v>
      </c>
      <c r="V35" s="99">
        <v>17</v>
      </c>
      <c r="W35" s="68">
        <f>0.8+0.7+1+1.8</f>
        <v>4.3</v>
      </c>
      <c r="X35" s="71">
        <f t="shared" si="8"/>
        <v>25.294117647058822</v>
      </c>
      <c r="Y35" s="67">
        <v>130</v>
      </c>
      <c r="Z35" s="68"/>
      <c r="AA35" s="98">
        <f t="shared" si="9"/>
        <v>0</v>
      </c>
      <c r="AB35" s="99"/>
      <c r="AC35" s="68"/>
      <c r="AD35" s="98"/>
      <c r="AE35" s="69">
        <v>3</v>
      </c>
      <c r="AF35" s="68"/>
      <c r="AG35" s="100">
        <f t="shared" si="10"/>
        <v>0</v>
      </c>
      <c r="AH35" s="130"/>
      <c r="AI35" s="132"/>
      <c r="AJ35" s="132"/>
    </row>
    <row r="36" spans="2:36" s="88" customFormat="1" ht="14.25" customHeight="1" x14ac:dyDescent="0.25">
      <c r="B36" s="101">
        <v>24</v>
      </c>
      <c r="C36" s="96" t="s">
        <v>36</v>
      </c>
      <c r="D36" s="102">
        <f t="shared" si="0"/>
        <v>1543</v>
      </c>
      <c r="E36" s="68">
        <f t="shared" si="1"/>
        <v>1978.1</v>
      </c>
      <c r="F36" s="68">
        <f t="shared" si="2"/>
        <v>128.19831497083604</v>
      </c>
      <c r="G36" s="97">
        <v>500</v>
      </c>
      <c r="H36" s="68">
        <f>145.1+152+280.2+465.7+190</f>
        <v>1233</v>
      </c>
      <c r="I36" s="68">
        <f t="shared" si="11"/>
        <v>246.60000000000002</v>
      </c>
      <c r="J36" s="68">
        <f t="shared" si="3"/>
        <v>1043</v>
      </c>
      <c r="K36" s="68">
        <f t="shared" si="4"/>
        <v>745.09999999999991</v>
      </c>
      <c r="L36" s="68">
        <f t="shared" si="5"/>
        <v>71.438159156279951</v>
      </c>
      <c r="M36" s="69">
        <v>745</v>
      </c>
      <c r="N36" s="68">
        <f>19.4+1+5.3+18.4+0.4+410.6+1.2+134+45.5+9.4+0.3+0.5+5.1</f>
        <v>651.09999999999991</v>
      </c>
      <c r="O36" s="98">
        <f t="shared" si="6"/>
        <v>87.395973154362409</v>
      </c>
      <c r="P36" s="68"/>
      <c r="Q36" s="68"/>
      <c r="R36" s="98"/>
      <c r="S36" s="99">
        <v>25</v>
      </c>
      <c r="T36" s="68">
        <f>0.2+0.5+0.8+1.7+1+2.7+0.4+0.4+0.1</f>
        <v>7.8000000000000007</v>
      </c>
      <c r="U36" s="98">
        <f t="shared" si="7"/>
        <v>31.200000000000006</v>
      </c>
      <c r="V36" s="99">
        <v>90</v>
      </c>
      <c r="W36" s="68">
        <f>5.1+2.3+3.3+2+5.1+1.7+46.1+2.3+3.8</f>
        <v>71.699999999999989</v>
      </c>
      <c r="X36" s="71">
        <f t="shared" si="8"/>
        <v>79.666666666666657</v>
      </c>
      <c r="Y36" s="67">
        <v>120</v>
      </c>
      <c r="Z36" s="68"/>
      <c r="AA36" s="98">
        <f t="shared" si="9"/>
        <v>0</v>
      </c>
      <c r="AB36" s="99"/>
      <c r="AC36" s="68"/>
      <c r="AD36" s="98"/>
      <c r="AE36" s="69">
        <v>63</v>
      </c>
      <c r="AF36" s="68">
        <f>14.5</f>
        <v>14.5</v>
      </c>
      <c r="AG36" s="100">
        <f t="shared" si="10"/>
        <v>23.015873015873016</v>
      </c>
      <c r="AH36" s="130"/>
      <c r="AI36" s="132"/>
      <c r="AJ36" s="132"/>
    </row>
    <row r="37" spans="2:36" s="88" customFormat="1" ht="14.25" customHeight="1" x14ac:dyDescent="0.25">
      <c r="B37" s="101">
        <v>25</v>
      </c>
      <c r="C37" s="96" t="s">
        <v>37</v>
      </c>
      <c r="D37" s="102">
        <f t="shared" si="0"/>
        <v>857.56</v>
      </c>
      <c r="E37" s="68">
        <f t="shared" si="1"/>
        <v>526.29999999999995</v>
      </c>
      <c r="F37" s="68">
        <f t="shared" si="2"/>
        <v>61.371799057791875</v>
      </c>
      <c r="G37" s="97">
        <v>500</v>
      </c>
      <c r="H37" s="68">
        <f>197.5+50+68.7+182</f>
        <v>498.2</v>
      </c>
      <c r="I37" s="68">
        <f t="shared" si="11"/>
        <v>99.64</v>
      </c>
      <c r="J37" s="68">
        <f t="shared" si="3"/>
        <v>357.56</v>
      </c>
      <c r="K37" s="68">
        <f t="shared" si="4"/>
        <v>28.099999999999998</v>
      </c>
      <c r="L37" s="68">
        <f t="shared" si="5"/>
        <v>7.8588208971920785</v>
      </c>
      <c r="M37" s="69">
        <v>139</v>
      </c>
      <c r="N37" s="68">
        <f>13.2+0.2+5</f>
        <v>18.399999999999999</v>
      </c>
      <c r="O37" s="98">
        <f t="shared" si="6"/>
        <v>13.237410071942445</v>
      </c>
      <c r="P37" s="68">
        <v>0.06</v>
      </c>
      <c r="Q37" s="68"/>
      <c r="R37" s="98">
        <f t="shared" si="12"/>
        <v>0</v>
      </c>
      <c r="S37" s="99">
        <v>20</v>
      </c>
      <c r="T37" s="68">
        <f>0.8+0.1+2+0.4+0.6</f>
        <v>3.9</v>
      </c>
      <c r="U37" s="98">
        <f t="shared" si="7"/>
        <v>19.5</v>
      </c>
      <c r="V37" s="99">
        <v>53</v>
      </c>
      <c r="W37" s="68">
        <f>3.8+2</f>
        <v>5.8</v>
      </c>
      <c r="X37" s="71">
        <f t="shared" si="8"/>
        <v>10.943396226415095</v>
      </c>
      <c r="Y37" s="67">
        <v>130</v>
      </c>
      <c r="Z37" s="68"/>
      <c r="AA37" s="98">
        <f t="shared" si="9"/>
        <v>0</v>
      </c>
      <c r="AB37" s="99"/>
      <c r="AC37" s="68"/>
      <c r="AD37" s="98"/>
      <c r="AE37" s="71">
        <v>15.5</v>
      </c>
      <c r="AF37" s="68"/>
      <c r="AG37" s="100">
        <f t="shared" si="10"/>
        <v>0</v>
      </c>
      <c r="AH37" s="130"/>
      <c r="AI37" s="132"/>
      <c r="AJ37" s="132"/>
    </row>
    <row r="38" spans="2:36" s="88" customFormat="1" ht="14.25" customHeight="1" x14ac:dyDescent="0.25">
      <c r="B38" s="101">
        <v>26</v>
      </c>
      <c r="C38" s="96" t="s">
        <v>38</v>
      </c>
      <c r="D38" s="102">
        <f t="shared" si="0"/>
        <v>1536.5</v>
      </c>
      <c r="E38" s="68">
        <f t="shared" si="1"/>
        <v>66.2</v>
      </c>
      <c r="F38" s="68">
        <f t="shared" si="2"/>
        <v>4.3084933289944676</v>
      </c>
      <c r="G38" s="97">
        <v>500</v>
      </c>
      <c r="H38" s="68"/>
      <c r="I38" s="68">
        <f t="shared" si="11"/>
        <v>0</v>
      </c>
      <c r="J38" s="68">
        <f t="shared" si="3"/>
        <v>1036.5</v>
      </c>
      <c r="K38" s="68">
        <f t="shared" si="4"/>
        <v>66.2</v>
      </c>
      <c r="L38" s="68">
        <f t="shared" si="5"/>
        <v>6.3868789194404254</v>
      </c>
      <c r="M38" s="69">
        <v>750</v>
      </c>
      <c r="N38" s="68">
        <f>8.5+2.5+2.1+2.2+1</f>
        <v>16.3</v>
      </c>
      <c r="O38" s="98">
        <f t="shared" si="6"/>
        <v>2.1733333333333333</v>
      </c>
      <c r="P38" s="68">
        <v>1.5</v>
      </c>
      <c r="Q38" s="68"/>
      <c r="R38" s="98">
        <f t="shared" si="12"/>
        <v>0</v>
      </c>
      <c r="S38" s="99">
        <v>50</v>
      </c>
      <c r="T38" s="68">
        <f>1+0.9+0.1</f>
        <v>2</v>
      </c>
      <c r="U38" s="98">
        <f t="shared" si="7"/>
        <v>4</v>
      </c>
      <c r="V38" s="99">
        <v>58</v>
      </c>
      <c r="W38" s="68">
        <f>12.5+0.5+3.2</f>
        <v>16.2</v>
      </c>
      <c r="X38" s="71">
        <f t="shared" si="8"/>
        <v>27.931034482758619</v>
      </c>
      <c r="Y38" s="67">
        <v>150</v>
      </c>
      <c r="Z38" s="68">
        <f>31.7</f>
        <v>31.7</v>
      </c>
      <c r="AA38" s="98">
        <f t="shared" si="9"/>
        <v>21.133333333333333</v>
      </c>
      <c r="AB38" s="99"/>
      <c r="AC38" s="68"/>
      <c r="AD38" s="98"/>
      <c r="AE38" s="69">
        <v>27</v>
      </c>
      <c r="AF38" s="68"/>
      <c r="AG38" s="100">
        <f t="shared" si="10"/>
        <v>0</v>
      </c>
      <c r="AH38" s="130"/>
      <c r="AI38" s="132"/>
      <c r="AJ38" s="132"/>
    </row>
    <row r="39" spans="2:36" s="88" customFormat="1" ht="14.25" customHeight="1" x14ac:dyDescent="0.25">
      <c r="B39" s="101">
        <v>27</v>
      </c>
      <c r="C39" s="96" t="s">
        <v>39</v>
      </c>
      <c r="D39" s="102">
        <f t="shared" si="0"/>
        <v>1392.6</v>
      </c>
      <c r="E39" s="68">
        <f t="shared" si="1"/>
        <v>847.3</v>
      </c>
      <c r="F39" s="68">
        <f t="shared" si="2"/>
        <v>60.843027430705156</v>
      </c>
      <c r="G39" s="97">
        <v>500</v>
      </c>
      <c r="H39" s="68">
        <f>702.8</f>
        <v>702.8</v>
      </c>
      <c r="I39" s="68">
        <f t="shared" si="11"/>
        <v>140.56</v>
      </c>
      <c r="J39" s="68">
        <f t="shared" si="3"/>
        <v>892.6</v>
      </c>
      <c r="K39" s="68">
        <f t="shared" si="4"/>
        <v>144.5</v>
      </c>
      <c r="L39" s="68">
        <f t="shared" si="5"/>
        <v>16.188662334752408</v>
      </c>
      <c r="M39" s="69">
        <v>678</v>
      </c>
      <c r="N39" s="68">
        <f>5.3+30+0.5+0.5</f>
        <v>36.299999999999997</v>
      </c>
      <c r="O39" s="98">
        <f t="shared" si="6"/>
        <v>5.3539823008849554</v>
      </c>
      <c r="P39" s="68">
        <v>0.6</v>
      </c>
      <c r="Q39" s="68"/>
      <c r="R39" s="98">
        <f t="shared" si="12"/>
        <v>0</v>
      </c>
      <c r="S39" s="99">
        <v>25</v>
      </c>
      <c r="T39" s="68">
        <f>0.6+4.3</f>
        <v>4.8999999999999995</v>
      </c>
      <c r="U39" s="98">
        <f t="shared" si="7"/>
        <v>19.599999999999998</v>
      </c>
      <c r="V39" s="99">
        <v>32</v>
      </c>
      <c r="W39" s="68">
        <f>2.8+100.5</f>
        <v>103.3</v>
      </c>
      <c r="X39" s="71">
        <f t="shared" si="8"/>
        <v>322.8125</v>
      </c>
      <c r="Y39" s="67">
        <v>80</v>
      </c>
      <c r="Z39" s="68"/>
      <c r="AA39" s="98">
        <f t="shared" si="9"/>
        <v>0</v>
      </c>
      <c r="AB39" s="99"/>
      <c r="AC39" s="68"/>
      <c r="AD39" s="98"/>
      <c r="AE39" s="69">
        <v>77</v>
      </c>
      <c r="AF39" s="68"/>
      <c r="AG39" s="100">
        <f t="shared" si="10"/>
        <v>0</v>
      </c>
      <c r="AH39" s="130"/>
      <c r="AI39" s="132"/>
      <c r="AJ39" s="132"/>
    </row>
    <row r="40" spans="2:36" s="88" customFormat="1" ht="14.25" customHeight="1" x14ac:dyDescent="0.25">
      <c r="B40" s="121">
        <v>28</v>
      </c>
      <c r="C40" s="122" t="s">
        <v>46</v>
      </c>
      <c r="D40" s="123">
        <f t="shared" si="0"/>
        <v>113</v>
      </c>
      <c r="E40" s="75">
        <f t="shared" si="1"/>
        <v>8</v>
      </c>
      <c r="F40" s="75">
        <f t="shared" si="2"/>
        <v>7.0796460176991154</v>
      </c>
      <c r="G40" s="124"/>
      <c r="H40" s="75"/>
      <c r="I40" s="75"/>
      <c r="J40" s="75">
        <f t="shared" si="3"/>
        <v>113</v>
      </c>
      <c r="K40" s="75">
        <f>N40+Q40+T40+W40+Z40+AC40+AF40</f>
        <v>8</v>
      </c>
      <c r="L40" s="75">
        <f t="shared" si="5"/>
        <v>7.0796460176991154</v>
      </c>
      <c r="M40" s="103">
        <v>25</v>
      </c>
      <c r="N40" s="75">
        <f>1.8+3</f>
        <v>4.8</v>
      </c>
      <c r="O40" s="104">
        <f t="shared" si="6"/>
        <v>19.2</v>
      </c>
      <c r="P40" s="75"/>
      <c r="Q40" s="75"/>
      <c r="R40" s="104"/>
      <c r="S40" s="105">
        <v>5</v>
      </c>
      <c r="T40" s="75">
        <f>0.4</f>
        <v>0.4</v>
      </c>
      <c r="U40" s="104">
        <f t="shared" si="7"/>
        <v>8</v>
      </c>
      <c r="V40" s="105">
        <v>13</v>
      </c>
      <c r="W40" s="75">
        <f>2+0.3</f>
        <v>2.2999999999999998</v>
      </c>
      <c r="X40" s="79">
        <f t="shared" si="8"/>
        <v>17.69230769230769</v>
      </c>
      <c r="Y40" s="74">
        <v>60</v>
      </c>
      <c r="Z40" s="75">
        <f>0.5</f>
        <v>0.5</v>
      </c>
      <c r="AA40" s="104">
        <f t="shared" si="9"/>
        <v>0.83333333333333337</v>
      </c>
      <c r="AB40" s="105"/>
      <c r="AC40" s="75"/>
      <c r="AD40" s="104"/>
      <c r="AE40" s="103">
        <v>10</v>
      </c>
      <c r="AF40" s="75"/>
      <c r="AG40" s="125">
        <f t="shared" si="10"/>
        <v>0</v>
      </c>
      <c r="AH40" s="131"/>
      <c r="AI40" s="133"/>
      <c r="AJ40" s="133"/>
    </row>
    <row r="41" spans="2:36" s="88" customFormat="1" ht="14.25" customHeight="1" x14ac:dyDescent="0.25">
      <c r="B41" s="184" t="s">
        <v>40</v>
      </c>
      <c r="C41" s="185"/>
      <c r="D41" s="117">
        <f>G41+J41</f>
        <v>127650</v>
      </c>
      <c r="E41" s="65">
        <f>H41+K41</f>
        <v>35155.5</v>
      </c>
      <c r="F41" s="65">
        <f>(E41/D41)*100</f>
        <v>27.540540540540544</v>
      </c>
      <c r="G41" s="117">
        <f>SUM(G13:G40)</f>
        <v>99700</v>
      </c>
      <c r="H41" s="73">
        <f>SUM(H13:H40)</f>
        <v>28204.800000000003</v>
      </c>
      <c r="I41" s="65">
        <f>H41/G41*100</f>
        <v>28.289669007021068</v>
      </c>
      <c r="J41" s="63">
        <f>M41+P41+S41+V41+Y41+AE41</f>
        <v>27950</v>
      </c>
      <c r="K41" s="73">
        <f>SUM(K13:K40)</f>
        <v>6950.7</v>
      </c>
      <c r="L41" s="73">
        <f>K41/J41*100</f>
        <v>24.868336314847941</v>
      </c>
      <c r="M41" s="63">
        <f>SUM(M13:M40)</f>
        <v>14800</v>
      </c>
      <c r="N41" s="73">
        <f>SUM(N13:N40)</f>
        <v>5268.8</v>
      </c>
      <c r="O41" s="106">
        <f>N41/M41*100</f>
        <v>35.6</v>
      </c>
      <c r="P41" s="73">
        <f>SUM(P13:P40)</f>
        <v>200</v>
      </c>
      <c r="Q41" s="73">
        <f>SUM(Q13:Q40)</f>
        <v>0.9</v>
      </c>
      <c r="R41" s="65">
        <f>Q41/P41*100</f>
        <v>0.45000000000000007</v>
      </c>
      <c r="S41" s="66">
        <f>SUM(S13:S40)</f>
        <v>2000</v>
      </c>
      <c r="T41" s="73">
        <f>SUM(T13:T40)</f>
        <v>277.90000000000003</v>
      </c>
      <c r="U41" s="73">
        <f>T41/S41*100</f>
        <v>13.895000000000001</v>
      </c>
      <c r="V41" s="63">
        <f>SUM(V13:V40)</f>
        <v>1650</v>
      </c>
      <c r="W41" s="73">
        <f>SUM(W13:W40)</f>
        <v>759.69999999999982</v>
      </c>
      <c r="X41" s="118">
        <f>W41/V41*100</f>
        <v>46.042424242424232</v>
      </c>
      <c r="Y41" s="117">
        <f>SUM(Y13:Y40)</f>
        <v>5000</v>
      </c>
      <c r="Z41" s="73">
        <f>SUM(Z13:Z40)</f>
        <v>495.60000000000008</v>
      </c>
      <c r="AA41" s="65">
        <f>Z41/Y41*100</f>
        <v>9.9120000000000008</v>
      </c>
      <c r="AB41" s="63"/>
      <c r="AC41" s="73"/>
      <c r="AD41" s="106"/>
      <c r="AE41" s="117">
        <f>SUM(AE13:AE40)</f>
        <v>4300</v>
      </c>
      <c r="AF41" s="73">
        <f>SUM(AF13:AF40)</f>
        <v>147.80000000000001</v>
      </c>
      <c r="AG41" s="119">
        <f>(AF41/AE41)*100</f>
        <v>3.4372093023255812</v>
      </c>
      <c r="AH41" s="129"/>
      <c r="AI41" s="134"/>
      <c r="AJ41" s="134"/>
    </row>
    <row r="42" spans="2:36" s="88" customFormat="1" ht="14.25" customHeight="1" x14ac:dyDescent="0.25">
      <c r="B42" s="180" t="s">
        <v>41</v>
      </c>
      <c r="C42" s="181"/>
      <c r="D42" s="67">
        <f>M42+P42+S42+V42+Y42+AB42+AH42</f>
        <v>20790</v>
      </c>
      <c r="E42" s="68">
        <f>N42+Q42+T42+W42+Z42+AC42+AF42+AI42</f>
        <v>6728.58</v>
      </c>
      <c r="F42" s="68">
        <f t="shared" ref="F42:F44" si="13">(E42/D42)*100</f>
        <v>32.364502164502163</v>
      </c>
      <c r="G42" s="67"/>
      <c r="H42" s="71"/>
      <c r="I42" s="68"/>
      <c r="J42" s="69">
        <f>M42+P42+S42+V42+Y42+AB42+AE42+AH42</f>
        <v>20790</v>
      </c>
      <c r="K42" s="68">
        <f>N42+Q42+T42+W42+Z42+AC42+AI42</f>
        <v>6728.58</v>
      </c>
      <c r="L42" s="73">
        <f>K42/J42*100</f>
        <v>32.364502164502163</v>
      </c>
      <c r="M42" s="135"/>
      <c r="N42" s="71"/>
      <c r="O42" s="106"/>
      <c r="P42" s="68"/>
      <c r="Q42" s="68"/>
      <c r="R42" s="68"/>
      <c r="S42" s="70">
        <v>16800</v>
      </c>
      <c r="T42" s="68">
        <f>228.8+2.2+197+47.5+66.7+183.9+96.5+73.5+105.8+268.3+54+89+0.8+128+3.9+419.2+244.3+25.1+2.9+4.1+19.83+77.9+1+22.4+46.8+1.4+2.4+10.1+13.3+12.5+13.5+148.6+73.9+11.8+0.8+7.1+26.1+177.8+19.2+3.1+114.5+118.1+18.8+73+7+152.7+0.6+2.5+90.3+213.4+133.5+5.7+26.1+122.8+9.4+167+145+39</f>
        <v>4370.43</v>
      </c>
      <c r="U42" s="68">
        <f>T42/S42*100</f>
        <v>26.01446428571429</v>
      </c>
      <c r="V42" s="69">
        <v>950</v>
      </c>
      <c r="W42" s="68">
        <f>10+28.1+6+10+17+10+5+27.1+16+7+32.4+2+20+14+17.4+3+10.9-2+10+5+6+14.6+6+10+1+4+23.2+2-1-1+2+6+2+14.6+24.6+1.7+1+2-2+0.8+5.1+4.1+0.4</f>
        <v>376.00000000000006</v>
      </c>
      <c r="X42" s="71">
        <f>W42/V42*100</f>
        <v>39.578947368421055</v>
      </c>
      <c r="Y42" s="67">
        <v>500</v>
      </c>
      <c r="Z42" s="68">
        <f>5.7+14.2+5.9+10.2+21.2+0.8+2.3+2.5+1.5+10+5+4.3+8+14.4+3.5+0.4+8.6+8.5+10.5+15.1+99.5+30.4+30+1.2+5.5+5+27.7+1.8+0.1+7+1064.1+9.6+0.6+0.8+0.8+0.4+1.5+33.6</f>
        <v>1472.1999999999996</v>
      </c>
      <c r="AA42" s="68">
        <f t="shared" ref="AA42:AA44" si="14">Z42/Y42*100</f>
        <v>294.43999999999988</v>
      </c>
      <c r="AB42" s="69">
        <v>2500</v>
      </c>
      <c r="AC42" s="71">
        <f>4.2+19.15+7.55+10.55+8.05+1.1+15.65+3.45+11.8+12.55+18.4+19.7+3.95+9.35+24.95+11.1+3.85+2.2+24.95+14.5+9.75+7+9.3+29.25-3.9+0.75+1.2+5.45+1.2+1.55+4.45+3.5+9.7+11.3+3.05+3.55+9.95+0.5+8+9.7+7.8+22.55+1.35+0.45+3.8+8.45+0.1+8.9+7.8+7.95+8.25+5.65+15.85+1.6+0.9+5.6+20.9</f>
        <v>480.15</v>
      </c>
      <c r="AD42" s="68">
        <f>AC42/AB42*100</f>
        <v>19.206</v>
      </c>
      <c r="AE42" s="67"/>
      <c r="AF42" s="78"/>
      <c r="AG42" s="84"/>
      <c r="AH42" s="130">
        <v>40</v>
      </c>
      <c r="AI42" s="136">
        <f>25.9+0.2+3.7</f>
        <v>29.799999999999997</v>
      </c>
      <c r="AJ42" s="136">
        <f>AI42/AH42*100</f>
        <v>74.499999999999986</v>
      </c>
    </row>
    <row r="43" spans="2:36" s="95" customFormat="1" ht="13.5" customHeight="1" x14ac:dyDescent="0.25">
      <c r="B43" s="87"/>
      <c r="C43" s="72" t="s">
        <v>51</v>
      </c>
      <c r="D43" s="67">
        <f>J43</f>
        <v>3560</v>
      </c>
      <c r="E43" s="68">
        <f>N43+Q43+T43+W43+Z43+AC43+AF43+AI43</f>
        <v>480.15</v>
      </c>
      <c r="F43" s="68">
        <f t="shared" si="13"/>
        <v>13.487359550561798</v>
      </c>
      <c r="G43" s="67"/>
      <c r="H43" s="71" t="s">
        <v>56</v>
      </c>
      <c r="I43" s="68"/>
      <c r="J43" s="69">
        <f>M43+P43+S43+V43+Y43+AB43+AE43+AH43</f>
        <v>3560</v>
      </c>
      <c r="K43" s="68">
        <f>N43+Q43+T43+W43+Z43+AC43+AI43</f>
        <v>480.15</v>
      </c>
      <c r="L43" s="73">
        <f t="shared" ref="L43:L44" si="15">K43/J43*100</f>
        <v>13.487359550561798</v>
      </c>
      <c r="M43" s="69"/>
      <c r="N43" s="71"/>
      <c r="O43" s="68"/>
      <c r="P43" s="68"/>
      <c r="Q43" s="68"/>
      <c r="R43" s="68"/>
      <c r="S43" s="70"/>
      <c r="T43" s="68"/>
      <c r="U43" s="68"/>
      <c r="V43" s="69"/>
      <c r="W43" s="68"/>
      <c r="X43" s="71"/>
      <c r="Y43" s="67">
        <v>1000</v>
      </c>
      <c r="Z43" s="68"/>
      <c r="AA43" s="68">
        <f t="shared" si="14"/>
        <v>0</v>
      </c>
      <c r="AB43" s="69">
        <v>2500</v>
      </c>
      <c r="AC43" s="71">
        <f>4.2+19.15+7.55+10.55+8.05+1.1+15.65+3.45+11.8+12.55+18.4+19.7+3.95+9.35+24.95+11.1+3.85+2.2+24.95+14.5+9.75+7+9.3+29.25-3.9+0.75+1.2+5.45+1.2+1.55+4.45+3.5+9.7+11.3+3.05+3.55+9.95+0.5+8+9.7+7.8+22.55+1.35+0.45+3.8+8.45+0.1+8.9+7.8+7.95+8.25+5.65+15.85+1.6+0.9+5.6+20.9</f>
        <v>480.15</v>
      </c>
      <c r="AD43" s="68">
        <f t="shared" ref="AD43:AD45" si="16">AC43/AB43*100</f>
        <v>19.206</v>
      </c>
      <c r="AE43" s="67"/>
      <c r="AF43" s="78"/>
      <c r="AG43" s="84"/>
      <c r="AH43" s="130">
        <v>60</v>
      </c>
      <c r="AI43" s="127"/>
      <c r="AJ43" s="136">
        <f>AI43/AH43*100</f>
        <v>0</v>
      </c>
    </row>
    <row r="44" spans="2:36" s="95" customFormat="1" ht="14.25" customHeight="1" x14ac:dyDescent="0.25">
      <c r="B44" s="87"/>
      <c r="C44" s="72" t="s">
        <v>52</v>
      </c>
      <c r="D44" s="67">
        <f>J44</f>
        <v>3000</v>
      </c>
      <c r="E44" s="68">
        <f>N44+Q44+T44+W44+Z44+AC44+AF44</f>
        <v>417.40000000000003</v>
      </c>
      <c r="F44" s="68">
        <f t="shared" si="13"/>
        <v>13.913333333333334</v>
      </c>
      <c r="G44" s="67"/>
      <c r="H44" s="71"/>
      <c r="I44" s="68"/>
      <c r="J44" s="69">
        <f>Y44</f>
        <v>3000</v>
      </c>
      <c r="K44" s="68">
        <f>N44+Q44+T44+W44+Z44+AC44</f>
        <v>417.40000000000003</v>
      </c>
      <c r="L44" s="73">
        <f t="shared" si="15"/>
        <v>13.913333333333334</v>
      </c>
      <c r="M44" s="69"/>
      <c r="N44" s="71"/>
      <c r="O44" s="68"/>
      <c r="P44" s="68"/>
      <c r="Q44" s="68"/>
      <c r="R44" s="68"/>
      <c r="S44" s="70"/>
      <c r="T44" s="68"/>
      <c r="U44" s="68"/>
      <c r="V44" s="69"/>
      <c r="W44" s="68"/>
      <c r="X44" s="71"/>
      <c r="Y44" s="67">
        <v>3000</v>
      </c>
      <c r="Z44" s="68">
        <f>12.3+0.4+13.6+1.5+0.6+24.2+7.5+4.3+18.2+152.8+1+2.5+9.8+4.5+3+6.6+3.9+0.9+14+0.3+6.2+0.1+0.1+2.7+14.3+6+0.7+6.5+3.5+2.3+7.9+8+11+2+0.2+2+2.7+34.3+13.3+1.5+0.9+0.4+5.1+1.5+2.3</f>
        <v>417.40000000000003</v>
      </c>
      <c r="AA44" s="73">
        <f t="shared" si="14"/>
        <v>13.913333333333334</v>
      </c>
      <c r="AB44" s="69"/>
      <c r="AC44" s="71"/>
      <c r="AD44" s="68"/>
      <c r="AE44" s="67"/>
      <c r="AF44" s="78"/>
      <c r="AG44" s="84"/>
      <c r="AH44" s="130"/>
      <c r="AI44" s="126"/>
      <c r="AJ44" s="126"/>
    </row>
    <row r="45" spans="2:36" s="88" customFormat="1" ht="14.25" customHeight="1" x14ac:dyDescent="0.25">
      <c r="B45" s="180" t="s">
        <v>57</v>
      </c>
      <c r="C45" s="181"/>
      <c r="D45" s="67">
        <f>SUM(D41:D44)</f>
        <v>155000</v>
      </c>
      <c r="E45" s="86">
        <f>SUM(E41:E44)</f>
        <v>42781.630000000005</v>
      </c>
      <c r="F45" s="73">
        <f>(E45/D45)*100</f>
        <v>27.601051612903227</v>
      </c>
      <c r="G45" s="67">
        <f>SUM(G41:G44)</f>
        <v>99700</v>
      </c>
      <c r="H45" s="68">
        <f>SUM(H41:H44)</f>
        <v>28204.800000000003</v>
      </c>
      <c r="I45" s="68">
        <f t="shared" ref="I45" si="17">H45/G45*100</f>
        <v>28.289669007021068</v>
      </c>
      <c r="J45" s="69">
        <f>SUM(J41:J44)</f>
        <v>55300</v>
      </c>
      <c r="K45" s="71">
        <f>SUM(K41:K44)</f>
        <v>14576.829999999998</v>
      </c>
      <c r="L45" s="73">
        <f>K45/J45*100</f>
        <v>26.359547920433997</v>
      </c>
      <c r="M45" s="69">
        <f>SUM(M41:M44)</f>
        <v>14800</v>
      </c>
      <c r="N45" s="68">
        <f>SUM(N41:N44)</f>
        <v>5268.8</v>
      </c>
      <c r="O45" s="68">
        <f>N45/M45*100</f>
        <v>35.6</v>
      </c>
      <c r="P45" s="68">
        <f>SUM(P41:P44)</f>
        <v>200</v>
      </c>
      <c r="Q45" s="68">
        <f>SUM(Q41:Q44)</f>
        <v>0.9</v>
      </c>
      <c r="R45" s="68">
        <f>(Q45/P45)*100</f>
        <v>0.45000000000000007</v>
      </c>
      <c r="S45" s="70">
        <f>SUM(S41:S44)</f>
        <v>18800</v>
      </c>
      <c r="T45" s="68">
        <f>SUM(T41:T44)</f>
        <v>4648.33</v>
      </c>
      <c r="U45" s="68">
        <f t="shared" ref="U45" si="18">T45/S45*100</f>
        <v>24.725159574468083</v>
      </c>
      <c r="V45" s="69">
        <f>SUM(V41:V44)</f>
        <v>2600</v>
      </c>
      <c r="W45" s="71">
        <f>SUM(W41:W44)</f>
        <v>1135.6999999999998</v>
      </c>
      <c r="X45" s="71">
        <f t="shared" ref="X45" si="19">W45/V45*100</f>
        <v>43.680769230769222</v>
      </c>
      <c r="Y45" s="67">
        <f>SUM(Y41:Y44)</f>
        <v>9500</v>
      </c>
      <c r="Z45" s="68">
        <f>SUM(Z41:Z44)</f>
        <v>2385.1999999999998</v>
      </c>
      <c r="AA45" s="68">
        <f>(Z45/Y45)*100</f>
        <v>25.107368421052627</v>
      </c>
      <c r="AB45" s="69">
        <f>SUM(AB41:AB44)</f>
        <v>5000</v>
      </c>
      <c r="AC45" s="68">
        <f>SUM(AC41:AC44)</f>
        <v>960.3</v>
      </c>
      <c r="AD45" s="68">
        <f t="shared" si="16"/>
        <v>19.206</v>
      </c>
      <c r="AE45" s="67">
        <f>SUM(AE41:AE44)</f>
        <v>4300</v>
      </c>
      <c r="AF45" s="68">
        <f>SUM(AF41:AF44)</f>
        <v>147.80000000000001</v>
      </c>
      <c r="AG45" s="84">
        <f>(AF45/AE45)*100</f>
        <v>3.4372093023255812</v>
      </c>
      <c r="AH45" s="130"/>
      <c r="AI45" s="136">
        <f>SUM(AI42:AI43)</f>
        <v>29.799999999999997</v>
      </c>
      <c r="AJ45" s="132"/>
    </row>
    <row r="46" spans="2:36" s="88" customFormat="1" ht="14.25" customHeight="1" x14ac:dyDescent="0.25">
      <c r="B46" s="177" t="s">
        <v>47</v>
      </c>
      <c r="C46" s="178"/>
      <c r="D46" s="74">
        <v>145300</v>
      </c>
      <c r="E46" s="75">
        <f>E45</f>
        <v>42781.630000000005</v>
      </c>
      <c r="F46" s="75">
        <f>E46/D46*100</f>
        <v>29.443654507914662</v>
      </c>
      <c r="G46" s="74"/>
      <c r="H46" s="75"/>
      <c r="I46" s="107"/>
      <c r="J46" s="75"/>
      <c r="K46" s="75"/>
      <c r="L46" s="75"/>
      <c r="M46" s="75"/>
      <c r="N46" s="79"/>
      <c r="O46" s="75"/>
      <c r="P46" s="76"/>
      <c r="Q46" s="75"/>
      <c r="R46" s="75"/>
      <c r="S46" s="75"/>
      <c r="T46" s="79"/>
      <c r="U46" s="75"/>
      <c r="V46" s="75"/>
      <c r="W46" s="75"/>
      <c r="X46" s="79"/>
      <c r="Y46" s="74"/>
      <c r="Z46" s="75"/>
      <c r="AA46" s="75"/>
      <c r="AB46" s="75"/>
      <c r="AC46" s="75"/>
      <c r="AD46" s="75"/>
      <c r="AE46" s="75"/>
      <c r="AF46" s="75"/>
      <c r="AG46" s="85"/>
      <c r="AH46" s="131"/>
      <c r="AI46" s="133"/>
      <c r="AJ46" s="133"/>
    </row>
    <row r="47" spans="2:36" ht="18.75" x14ac:dyDescent="0.3">
      <c r="B47" s="32"/>
      <c r="C47" s="32"/>
      <c r="D47" s="33"/>
      <c r="E47" s="34"/>
      <c r="F47" s="34"/>
      <c r="G47" s="35"/>
      <c r="H47" s="33"/>
      <c r="I47" s="33"/>
      <c r="J47" s="33"/>
      <c r="K47" s="81"/>
      <c r="L47" s="33"/>
      <c r="M47" s="33"/>
      <c r="N47" s="34"/>
      <c r="O47" s="33"/>
      <c r="P47" s="36"/>
      <c r="Q47" s="33"/>
      <c r="R47" s="33"/>
      <c r="S47" s="33"/>
      <c r="T47" s="34"/>
      <c r="U47" s="33"/>
      <c r="V47" s="33"/>
      <c r="W47" s="139"/>
      <c r="X47" s="140"/>
      <c r="Y47" s="140"/>
      <c r="Z47" s="140"/>
      <c r="AA47" s="179" t="s">
        <v>65</v>
      </c>
      <c r="AB47" s="179"/>
      <c r="AC47" s="179"/>
      <c r="AD47" s="179"/>
      <c r="AE47" s="179"/>
      <c r="AF47" s="179"/>
      <c r="AG47" s="179"/>
    </row>
    <row r="48" spans="2:36" ht="15.75" x14ac:dyDescent="0.25">
      <c r="B48" s="37"/>
      <c r="C48" s="37"/>
      <c r="D48" s="174" t="s">
        <v>42</v>
      </c>
      <c r="E48" s="174"/>
      <c r="F48" s="174"/>
      <c r="G48" s="174"/>
      <c r="H48" s="174"/>
      <c r="I48" s="174"/>
      <c r="J48" s="174"/>
      <c r="K48" s="38"/>
      <c r="L48" s="38"/>
      <c r="M48" s="39"/>
      <c r="N48" s="141"/>
      <c r="O48" s="141"/>
      <c r="P48" s="174" t="s">
        <v>43</v>
      </c>
      <c r="Q48" s="174"/>
      <c r="R48" s="174"/>
      <c r="S48" s="174"/>
      <c r="T48" s="174"/>
      <c r="U48" s="37"/>
      <c r="V48" s="40"/>
      <c r="W48" s="40"/>
      <c r="X48" s="141"/>
      <c r="Y48" s="141"/>
      <c r="Z48" s="141"/>
      <c r="AA48" s="174" t="s">
        <v>44</v>
      </c>
      <c r="AB48" s="174"/>
      <c r="AC48" s="174"/>
      <c r="AD48" s="174"/>
      <c r="AE48" s="174"/>
      <c r="AF48" s="174"/>
      <c r="AG48" s="174"/>
    </row>
    <row r="49" spans="2:33" ht="15.75" x14ac:dyDescent="0.25">
      <c r="B49" s="37"/>
      <c r="C49" s="37"/>
      <c r="D49" s="41"/>
      <c r="E49" s="42"/>
      <c r="F49" s="37"/>
      <c r="G49" s="43"/>
      <c r="H49" s="37"/>
      <c r="I49" s="37"/>
      <c r="J49" s="38"/>
      <c r="K49" s="38"/>
      <c r="L49" s="38"/>
      <c r="M49" s="39"/>
      <c r="N49" s="45"/>
      <c r="O49" s="37"/>
      <c r="P49" s="44"/>
      <c r="Q49" s="37"/>
      <c r="R49" s="38"/>
      <c r="S49" s="39"/>
      <c r="T49" s="37"/>
      <c r="U49" s="37"/>
      <c r="V49" s="45"/>
      <c r="W49" s="37"/>
      <c r="X49" s="37"/>
      <c r="Y49" s="43"/>
      <c r="Z49" s="46"/>
      <c r="AA49" s="46"/>
      <c r="AB49" s="46"/>
      <c r="AC49" s="46"/>
      <c r="AD49" s="46"/>
      <c r="AE49" s="37"/>
      <c r="AF49" s="37"/>
      <c r="AG49" s="37"/>
    </row>
    <row r="50" spans="2:33" ht="15.75" x14ac:dyDescent="0.25">
      <c r="B50" s="37"/>
      <c r="C50" s="37"/>
      <c r="D50" s="41"/>
      <c r="E50" s="37"/>
      <c r="F50" s="37"/>
      <c r="G50" s="43"/>
      <c r="H50" s="37"/>
      <c r="I50" s="37"/>
      <c r="J50" s="38"/>
      <c r="K50" s="38"/>
      <c r="L50" s="38"/>
      <c r="M50" s="39"/>
      <c r="N50" s="112"/>
      <c r="O50" s="37"/>
      <c r="P50" s="111"/>
      <c r="Q50" s="37"/>
      <c r="R50" s="38"/>
      <c r="S50" s="39"/>
      <c r="T50" s="113"/>
      <c r="U50" s="110"/>
      <c r="V50" s="32"/>
      <c r="W50" s="114"/>
      <c r="X50" s="39"/>
      <c r="Y50" s="43"/>
      <c r="Z50" s="47"/>
      <c r="AA50" s="47"/>
      <c r="AB50" s="37"/>
      <c r="AC50" s="83"/>
      <c r="AD50" s="37"/>
      <c r="AE50" s="47"/>
      <c r="AF50" s="47"/>
      <c r="AG50" s="47"/>
    </row>
    <row r="51" spans="2:33" ht="15.75" x14ac:dyDescent="0.25">
      <c r="B51" s="48"/>
      <c r="C51" s="37"/>
      <c r="D51" s="41"/>
      <c r="E51" s="37"/>
      <c r="F51" s="37"/>
      <c r="G51" s="49"/>
      <c r="H51" s="50"/>
      <c r="I51" s="50"/>
      <c r="J51" s="48"/>
      <c r="K51" s="48"/>
      <c r="L51" s="48"/>
      <c r="M51" s="51"/>
      <c r="N51" s="174"/>
      <c r="O51" s="174"/>
      <c r="P51" s="174"/>
      <c r="Q51" s="174"/>
      <c r="R51" s="48"/>
      <c r="S51" s="51"/>
      <c r="T51" s="48"/>
      <c r="U51" s="48"/>
      <c r="V51" s="174"/>
      <c r="W51" s="174"/>
      <c r="X51" s="174"/>
      <c r="Y51" s="174"/>
      <c r="Z51" s="46"/>
      <c r="AA51" s="52"/>
      <c r="AB51" s="52"/>
      <c r="AC51" s="52"/>
      <c r="AD51" s="52"/>
      <c r="AE51" s="46"/>
      <c r="AF51" s="46"/>
      <c r="AG51" s="52"/>
    </row>
    <row r="52" spans="2:33" ht="15.75" x14ac:dyDescent="0.25">
      <c r="B52" s="53"/>
      <c r="C52" s="53"/>
      <c r="D52" s="174" t="s">
        <v>58</v>
      </c>
      <c r="E52" s="174"/>
      <c r="F52" s="174"/>
      <c r="G52" s="174"/>
      <c r="H52" s="174"/>
      <c r="I52" s="174"/>
      <c r="J52" s="174"/>
      <c r="K52" s="53"/>
      <c r="L52" s="53"/>
      <c r="M52" s="53"/>
      <c r="N52" s="141"/>
      <c r="O52" s="141"/>
      <c r="P52" s="174" t="s">
        <v>45</v>
      </c>
      <c r="Q52" s="174"/>
      <c r="R52" s="174"/>
      <c r="S52" s="174"/>
      <c r="T52" s="174"/>
      <c r="U52" s="53"/>
      <c r="V52" s="53"/>
      <c r="W52" s="115"/>
      <c r="X52" s="53"/>
      <c r="Y52" s="141"/>
      <c r="Z52" s="141"/>
      <c r="AA52" s="174" t="s">
        <v>62</v>
      </c>
      <c r="AB52" s="174"/>
      <c r="AC52" s="174"/>
      <c r="AD52" s="174"/>
      <c r="AE52" s="174"/>
      <c r="AF52" s="174"/>
      <c r="AG52" s="174"/>
    </row>
    <row r="53" spans="2:33" x14ac:dyDescent="0.25">
      <c r="B53" s="54"/>
      <c r="C53" s="54"/>
      <c r="E53" s="54"/>
      <c r="F53" s="54"/>
      <c r="H53" s="56"/>
      <c r="I53" s="56"/>
      <c r="J53" s="56"/>
      <c r="K53" s="56"/>
      <c r="L53" s="56"/>
      <c r="M53" s="56"/>
      <c r="N53" s="56"/>
      <c r="O53" s="56"/>
      <c r="Q53" s="56"/>
      <c r="R53" s="56"/>
      <c r="S53" s="56"/>
      <c r="T53" s="56"/>
      <c r="U53" s="56"/>
      <c r="V53" s="56"/>
      <c r="W53" s="56"/>
      <c r="X53" s="56"/>
      <c r="Z53" s="56"/>
      <c r="AA53" s="56"/>
      <c r="AB53" s="56"/>
      <c r="AC53" s="56"/>
      <c r="AD53" s="56"/>
      <c r="AE53" s="56"/>
      <c r="AF53" s="56"/>
      <c r="AG53" s="56"/>
    </row>
    <row r="54" spans="2:33" x14ac:dyDescent="0.25">
      <c r="B54" s="54"/>
      <c r="C54" s="54"/>
      <c r="E54" s="54"/>
      <c r="F54" s="54"/>
      <c r="H54" s="56"/>
      <c r="I54" s="56"/>
      <c r="J54" s="56"/>
      <c r="K54" s="56"/>
      <c r="L54" s="56"/>
      <c r="M54" s="56"/>
      <c r="N54" s="56"/>
      <c r="O54" s="56"/>
      <c r="Q54" s="56"/>
      <c r="R54" s="56"/>
      <c r="S54" s="56"/>
      <c r="T54" s="56"/>
      <c r="U54" s="56"/>
      <c r="V54" s="56"/>
      <c r="W54" s="56"/>
      <c r="X54" s="56"/>
      <c r="Z54" s="56"/>
      <c r="AA54" s="56"/>
      <c r="AB54" s="56"/>
      <c r="AC54" s="56"/>
      <c r="AD54" s="56"/>
      <c r="AE54" s="56"/>
      <c r="AF54" s="56"/>
      <c r="AG54" s="56"/>
    </row>
    <row r="55" spans="2:33" x14ac:dyDescent="0.25">
      <c r="B55" s="54"/>
      <c r="C55" s="54"/>
      <c r="E55" s="54"/>
      <c r="F55" s="54"/>
      <c r="H55" s="56"/>
      <c r="I55" s="56"/>
      <c r="J55" s="56"/>
      <c r="K55" s="56"/>
      <c r="L55" s="56"/>
      <c r="M55" s="56"/>
      <c r="N55" s="56"/>
      <c r="O55" s="56"/>
      <c r="Q55" s="56"/>
      <c r="R55" s="56"/>
      <c r="S55" s="56"/>
      <c r="T55" s="56"/>
      <c r="U55" s="56"/>
      <c r="V55" s="56"/>
      <c r="W55" s="56"/>
      <c r="X55" s="56"/>
      <c r="Z55" s="56"/>
      <c r="AA55" s="56"/>
      <c r="AB55" s="56"/>
      <c r="AC55" s="56"/>
      <c r="AD55" s="56"/>
      <c r="AE55" s="56"/>
      <c r="AF55" s="56"/>
      <c r="AG55" s="56"/>
    </row>
    <row r="56" spans="2:33" x14ac:dyDescent="0.25">
      <c r="B56" s="54"/>
      <c r="C56" s="54"/>
      <c r="E56" s="54"/>
      <c r="F56" s="54"/>
      <c r="H56" s="56"/>
      <c r="I56" s="56"/>
      <c r="J56" s="56"/>
      <c r="K56" s="56"/>
      <c r="L56" s="56"/>
      <c r="M56" s="56"/>
      <c r="N56" s="56"/>
      <c r="O56" s="56"/>
      <c r="Q56" s="56"/>
      <c r="R56" s="56"/>
      <c r="S56" s="56"/>
      <c r="T56" s="56"/>
      <c r="U56" s="56"/>
      <c r="V56" s="56"/>
      <c r="W56" s="56"/>
      <c r="X56" s="56"/>
      <c r="Z56" s="56"/>
      <c r="AA56" s="56"/>
      <c r="AB56" s="56"/>
      <c r="AC56" s="56"/>
      <c r="AD56" s="56"/>
      <c r="AE56" s="56"/>
      <c r="AF56" s="56"/>
      <c r="AG56" s="56"/>
    </row>
    <row r="57" spans="2:33" x14ac:dyDescent="0.25">
      <c r="B57" s="54"/>
      <c r="C57" s="54"/>
      <c r="E57" s="54"/>
      <c r="F57" s="54"/>
      <c r="H57" s="56"/>
      <c r="I57" s="56"/>
      <c r="J57" s="56"/>
      <c r="K57" s="56"/>
      <c r="L57" s="56"/>
      <c r="M57" s="56"/>
      <c r="N57" s="56"/>
      <c r="O57" s="56"/>
      <c r="Q57" s="56"/>
      <c r="R57" s="56"/>
      <c r="S57" s="56"/>
      <c r="T57" s="56"/>
      <c r="U57" s="56"/>
      <c r="V57" s="56"/>
      <c r="W57" s="56"/>
      <c r="X57" s="56"/>
      <c r="Z57" s="56"/>
      <c r="AA57" s="56"/>
      <c r="AB57" s="56"/>
      <c r="AC57" s="56"/>
      <c r="AD57" s="56"/>
      <c r="AE57" s="56"/>
      <c r="AF57" s="56"/>
      <c r="AG57" s="56"/>
    </row>
    <row r="58" spans="2:33" x14ac:dyDescent="0.25">
      <c r="B58" s="54"/>
      <c r="C58" s="54"/>
      <c r="E58" s="54"/>
      <c r="F58" s="54"/>
      <c r="H58" s="56"/>
      <c r="I58" s="56"/>
      <c r="J58" s="56"/>
      <c r="K58" s="56"/>
      <c r="L58" s="56"/>
      <c r="M58" s="56"/>
      <c r="N58" s="56"/>
      <c r="O58" s="56"/>
      <c r="Q58" s="56"/>
      <c r="R58" s="56"/>
      <c r="S58" s="56"/>
      <c r="T58" s="56"/>
      <c r="U58" s="56"/>
      <c r="V58" s="56"/>
      <c r="W58" s="56"/>
      <c r="X58" s="56"/>
      <c r="Z58" s="56"/>
      <c r="AA58" s="56"/>
      <c r="AB58" s="56"/>
      <c r="AC58" s="56"/>
      <c r="AD58" s="56"/>
      <c r="AE58" s="56"/>
      <c r="AF58" s="56"/>
      <c r="AG58" s="56"/>
    </row>
    <row r="59" spans="2:33" x14ac:dyDescent="0.25">
      <c r="B59" s="54"/>
      <c r="C59" s="54"/>
      <c r="E59" s="54"/>
      <c r="F59" s="54"/>
      <c r="H59" s="56"/>
      <c r="I59" s="56"/>
      <c r="J59" s="56"/>
      <c r="K59" s="56"/>
      <c r="L59" s="56"/>
      <c r="M59" s="56"/>
      <c r="N59" s="56"/>
      <c r="O59" s="56"/>
      <c r="Q59" s="56"/>
      <c r="R59" s="56"/>
      <c r="S59" s="56"/>
      <c r="T59" s="56"/>
      <c r="U59" s="56"/>
      <c r="V59" s="56"/>
      <c r="W59" s="56"/>
      <c r="X59" s="56"/>
      <c r="Z59" s="56"/>
      <c r="AA59" s="56"/>
      <c r="AB59" s="56"/>
      <c r="AC59" s="56"/>
      <c r="AD59" s="56"/>
      <c r="AE59" s="56"/>
      <c r="AF59" s="56"/>
      <c r="AG59" s="56"/>
    </row>
    <row r="60" spans="2:33" x14ac:dyDescent="0.25">
      <c r="B60" s="54"/>
      <c r="C60" s="54"/>
      <c r="E60" s="54"/>
      <c r="F60" s="54"/>
      <c r="H60" s="56"/>
      <c r="I60" s="56"/>
      <c r="J60" s="56"/>
      <c r="K60" s="56"/>
      <c r="L60" s="56"/>
      <c r="M60" s="56"/>
      <c r="N60" s="56"/>
      <c r="O60" s="56"/>
      <c r="Q60" s="56"/>
      <c r="R60" s="56"/>
      <c r="S60" s="56"/>
      <c r="T60" s="56"/>
      <c r="U60" s="56"/>
      <c r="V60" s="56"/>
      <c r="W60" s="56"/>
      <c r="X60" s="56"/>
      <c r="Z60" s="56"/>
      <c r="AA60" s="56"/>
      <c r="AB60" s="56"/>
      <c r="AC60" s="56"/>
      <c r="AD60" s="56"/>
      <c r="AE60" s="56"/>
      <c r="AF60" s="56"/>
      <c r="AG60" s="56"/>
    </row>
    <row r="61" spans="2:33" x14ac:dyDescent="0.25">
      <c r="B61" s="54"/>
      <c r="C61" s="54"/>
      <c r="E61" s="54"/>
      <c r="F61" s="54"/>
      <c r="H61" s="56"/>
      <c r="I61" s="56"/>
      <c r="J61" s="56"/>
      <c r="K61" s="56"/>
      <c r="L61" s="56"/>
      <c r="M61" s="56"/>
      <c r="N61" s="56"/>
      <c r="O61" s="56"/>
      <c r="Q61" s="56"/>
      <c r="R61" s="56"/>
      <c r="S61" s="56"/>
      <c r="T61" s="56"/>
      <c r="U61" s="56"/>
      <c r="V61" s="56"/>
      <c r="W61" s="56"/>
      <c r="X61" s="56"/>
      <c r="Z61" s="56"/>
      <c r="AA61" s="56"/>
      <c r="AB61" s="56"/>
      <c r="AC61" s="56"/>
      <c r="AD61" s="56"/>
      <c r="AE61" s="56"/>
      <c r="AF61" s="56"/>
      <c r="AG61" s="56"/>
    </row>
    <row r="62" spans="2:33" x14ac:dyDescent="0.25">
      <c r="B62" s="54"/>
      <c r="C62" s="54"/>
      <c r="E62" s="54"/>
      <c r="F62" s="54"/>
      <c r="H62" s="56"/>
      <c r="I62" s="56"/>
      <c r="J62" s="56"/>
      <c r="K62" s="56"/>
      <c r="L62" s="56"/>
      <c r="M62" s="56"/>
      <c r="N62" s="56"/>
      <c r="O62" s="56"/>
      <c r="Q62" s="56"/>
      <c r="R62" s="56"/>
      <c r="S62" s="56"/>
      <c r="T62" s="56"/>
      <c r="U62" s="56"/>
      <c r="V62" s="56"/>
      <c r="W62" s="56"/>
      <c r="X62" s="56"/>
      <c r="Z62" s="56"/>
      <c r="AA62" s="56"/>
      <c r="AB62" s="56"/>
      <c r="AC62" s="56"/>
      <c r="AD62" s="56"/>
      <c r="AE62" s="56"/>
      <c r="AF62" s="56"/>
      <c r="AG62" s="56"/>
    </row>
    <row r="63" spans="2:33" x14ac:dyDescent="0.25">
      <c r="B63" s="54"/>
      <c r="C63" s="54"/>
      <c r="E63" s="54"/>
      <c r="F63" s="54"/>
      <c r="H63" s="56"/>
      <c r="I63" s="56"/>
      <c r="J63" s="56"/>
      <c r="K63" s="56"/>
      <c r="L63" s="56"/>
      <c r="M63" s="56"/>
      <c r="N63" s="56"/>
      <c r="O63" s="56"/>
      <c r="Q63" s="56"/>
      <c r="R63" s="56"/>
      <c r="S63" s="56"/>
      <c r="T63" s="56"/>
      <c r="U63" s="56"/>
      <c r="V63" s="56"/>
      <c r="W63" s="56"/>
      <c r="X63" s="56"/>
      <c r="Z63" s="56"/>
      <c r="AA63" s="56"/>
      <c r="AB63" s="56"/>
      <c r="AC63" s="56"/>
      <c r="AD63" s="56"/>
      <c r="AE63" s="56"/>
      <c r="AF63" s="56"/>
      <c r="AG63" s="56"/>
    </row>
    <row r="64" spans="2:33" x14ac:dyDescent="0.25">
      <c r="B64" s="54"/>
      <c r="C64" s="54"/>
      <c r="E64" s="54"/>
      <c r="F64" s="54"/>
      <c r="H64" s="56"/>
      <c r="I64" s="56"/>
      <c r="J64" s="56"/>
      <c r="K64" s="56"/>
      <c r="L64" s="56"/>
      <c r="M64" s="56"/>
      <c r="N64" s="56"/>
      <c r="O64" s="56"/>
      <c r="Q64" s="56"/>
      <c r="R64" s="56"/>
      <c r="S64" s="56"/>
      <c r="T64" s="56"/>
      <c r="U64" s="56"/>
      <c r="V64" s="56"/>
      <c r="W64" s="56"/>
      <c r="X64" s="56"/>
      <c r="Z64" s="56"/>
      <c r="AA64" s="56"/>
      <c r="AB64" s="56"/>
      <c r="AC64" s="56"/>
      <c r="AD64" s="56"/>
      <c r="AE64" s="56"/>
      <c r="AF64" s="56"/>
      <c r="AG64" s="56"/>
    </row>
    <row r="65" spans="2:33" ht="15" customHeight="1" x14ac:dyDescent="0.25">
      <c r="B65" s="54"/>
      <c r="C65" s="54"/>
      <c r="E65" s="54"/>
      <c r="F65" s="54"/>
      <c r="H65" s="56"/>
      <c r="I65" s="56"/>
      <c r="J65" s="56"/>
      <c r="K65" s="56"/>
      <c r="L65" s="56"/>
      <c r="M65" s="56"/>
      <c r="N65" s="56"/>
      <c r="O65" s="56"/>
      <c r="Q65" s="56"/>
      <c r="R65" s="56"/>
      <c r="S65" s="56"/>
      <c r="T65" s="56"/>
      <c r="U65" s="56"/>
      <c r="V65" s="56"/>
      <c r="W65" s="56"/>
      <c r="X65" s="56"/>
      <c r="Z65" s="56"/>
      <c r="AA65" s="56"/>
      <c r="AB65" s="56"/>
      <c r="AC65" s="56"/>
      <c r="AD65" s="56"/>
      <c r="AE65" s="56"/>
      <c r="AF65" s="56"/>
      <c r="AG65" s="56"/>
    </row>
    <row r="66" spans="2:33" ht="15" customHeight="1" x14ac:dyDescent="0.25">
      <c r="B66" s="54"/>
      <c r="C66" s="54"/>
      <c r="E66" s="54"/>
      <c r="F66" s="54"/>
      <c r="H66" s="56"/>
      <c r="I66" s="56"/>
      <c r="J66" s="56"/>
      <c r="K66" s="56"/>
      <c r="L66" s="56"/>
      <c r="M66" s="56"/>
      <c r="N66" s="56"/>
      <c r="O66" s="56"/>
      <c r="Q66" s="56"/>
      <c r="R66" s="56"/>
      <c r="S66" s="56"/>
      <c r="T66" s="56"/>
      <c r="U66" s="56"/>
      <c r="V66" s="56"/>
      <c r="W66" s="56"/>
      <c r="X66" s="56"/>
      <c r="Z66" s="56"/>
      <c r="AA66" s="56"/>
      <c r="AB66" s="56"/>
      <c r="AC66" s="56"/>
      <c r="AD66" s="56"/>
      <c r="AE66" s="56"/>
      <c r="AF66" s="56"/>
      <c r="AG66" s="56"/>
    </row>
    <row r="67" spans="2:33" ht="15" customHeight="1" x14ac:dyDescent="0.25">
      <c r="B67" s="54"/>
      <c r="C67" s="54"/>
      <c r="E67" s="54"/>
      <c r="F67" s="54"/>
      <c r="H67" s="56"/>
      <c r="I67" s="56"/>
      <c r="J67" s="56"/>
      <c r="K67" s="56"/>
      <c r="L67" s="56"/>
      <c r="M67" s="56"/>
      <c r="N67" s="56"/>
      <c r="O67" s="56"/>
      <c r="Q67" s="56"/>
      <c r="R67" s="56"/>
      <c r="S67" s="56"/>
      <c r="T67" s="56"/>
      <c r="U67" s="56"/>
      <c r="V67" s="56"/>
      <c r="W67" s="56"/>
      <c r="X67" s="56"/>
      <c r="Z67" s="56"/>
      <c r="AA67" s="56"/>
      <c r="AB67" s="56"/>
      <c r="AC67" s="56"/>
      <c r="AD67" s="56"/>
      <c r="AE67" s="56"/>
      <c r="AF67" s="56"/>
      <c r="AG67" s="56"/>
    </row>
    <row r="68" spans="2:33" ht="15" customHeight="1" x14ac:dyDescent="0.25">
      <c r="B68" s="54"/>
      <c r="C68" s="54"/>
      <c r="E68" s="54"/>
      <c r="F68" s="54"/>
      <c r="H68" s="56"/>
      <c r="I68" s="56"/>
      <c r="J68" s="56"/>
      <c r="K68" s="56"/>
      <c r="L68" s="56"/>
      <c r="M68" s="56"/>
      <c r="N68" s="56"/>
      <c r="O68" s="56"/>
      <c r="Q68" s="56"/>
      <c r="R68" s="56"/>
      <c r="S68" s="56"/>
      <c r="T68" s="56"/>
      <c r="U68" s="56"/>
      <c r="V68" s="56"/>
      <c r="W68" s="56"/>
      <c r="X68" s="56"/>
      <c r="Z68" s="56"/>
      <c r="AA68" s="56"/>
      <c r="AB68" s="56"/>
      <c r="AC68" s="56"/>
      <c r="AD68" s="56"/>
      <c r="AE68" s="56"/>
      <c r="AF68" s="56"/>
      <c r="AG68" s="56"/>
    </row>
    <row r="69" spans="2:33" ht="15" customHeight="1" x14ac:dyDescent="0.25">
      <c r="B69" s="54"/>
      <c r="C69" s="54"/>
      <c r="E69" s="54"/>
      <c r="F69" s="54"/>
      <c r="H69" s="56"/>
      <c r="I69" s="56"/>
      <c r="J69" s="56"/>
      <c r="K69" s="56"/>
      <c r="L69" s="56"/>
      <c r="M69" s="56"/>
      <c r="N69" s="56"/>
      <c r="O69" s="56"/>
      <c r="Q69" s="56"/>
      <c r="R69" s="56"/>
      <c r="S69" s="56"/>
      <c r="T69" s="56"/>
      <c r="U69" s="56"/>
      <c r="V69" s="56"/>
      <c r="W69" s="56"/>
      <c r="X69" s="56"/>
      <c r="Z69" s="56"/>
      <c r="AA69" s="56"/>
      <c r="AB69" s="56"/>
      <c r="AC69" s="56"/>
      <c r="AD69" s="56"/>
      <c r="AE69" s="56"/>
      <c r="AF69" s="56"/>
      <c r="AG69" s="56"/>
    </row>
    <row r="70" spans="2:33" ht="15" customHeight="1" x14ac:dyDescent="0.25">
      <c r="B70" s="54"/>
      <c r="C70" s="54"/>
      <c r="E70" s="54"/>
      <c r="F70" s="54"/>
      <c r="H70" s="56"/>
      <c r="I70" s="56"/>
      <c r="J70" s="56"/>
      <c r="K70" s="56"/>
      <c r="L70" s="56"/>
      <c r="M70" s="56"/>
      <c r="N70" s="56"/>
      <c r="O70" s="56"/>
      <c r="Q70" s="56"/>
      <c r="R70" s="56"/>
      <c r="S70" s="56"/>
      <c r="T70" s="56"/>
      <c r="U70" s="56"/>
      <c r="V70" s="56"/>
      <c r="W70" s="56"/>
      <c r="X70" s="56"/>
      <c r="Z70" s="56"/>
      <c r="AA70" s="56"/>
      <c r="AB70" s="56"/>
      <c r="AC70" s="56"/>
      <c r="AD70" s="56"/>
      <c r="AE70" s="56"/>
      <c r="AF70" s="56"/>
      <c r="AG70" s="56"/>
    </row>
    <row r="71" spans="2:33" ht="15" customHeight="1" x14ac:dyDescent="0.25">
      <c r="B71" s="54"/>
      <c r="C71" s="54"/>
      <c r="E71" s="54"/>
      <c r="F71" s="54"/>
      <c r="H71" s="56"/>
      <c r="I71" s="56"/>
      <c r="J71" s="56"/>
      <c r="K71" s="56"/>
      <c r="L71" s="56"/>
      <c r="M71" s="56"/>
      <c r="N71" s="56"/>
      <c r="O71" s="56"/>
      <c r="Q71" s="56"/>
      <c r="R71" s="56"/>
      <c r="S71" s="56"/>
      <c r="T71" s="56"/>
      <c r="U71" s="56"/>
      <c r="V71" s="56"/>
      <c r="W71" s="56"/>
      <c r="X71" s="56"/>
      <c r="Z71" s="56"/>
      <c r="AA71" s="56"/>
      <c r="AB71" s="56"/>
      <c r="AC71" s="56"/>
      <c r="AD71" s="56"/>
      <c r="AE71" s="56"/>
      <c r="AF71" s="56"/>
      <c r="AG71" s="56"/>
    </row>
    <row r="72" spans="2:33" ht="15" customHeight="1" x14ac:dyDescent="0.25">
      <c r="B72" s="54"/>
      <c r="C72" s="54"/>
      <c r="E72" s="54"/>
      <c r="F72" s="54"/>
      <c r="H72" s="56"/>
      <c r="I72" s="56"/>
      <c r="J72" s="56"/>
      <c r="K72" s="56"/>
      <c r="L72" s="56"/>
      <c r="M72" s="56"/>
      <c r="N72" s="56"/>
      <c r="O72" s="56"/>
      <c r="Q72" s="56"/>
      <c r="R72" s="56"/>
      <c r="S72" s="56"/>
      <c r="T72" s="56"/>
      <c r="U72" s="56"/>
      <c r="V72" s="56"/>
      <c r="W72" s="56"/>
      <c r="X72" s="56"/>
      <c r="Z72" s="56"/>
      <c r="AA72" s="56"/>
      <c r="AB72" s="56"/>
      <c r="AC72" s="56"/>
      <c r="AD72" s="56"/>
      <c r="AE72" s="56"/>
      <c r="AF72" s="56"/>
      <c r="AG72" s="56"/>
    </row>
    <row r="73" spans="2:33" ht="15" customHeight="1" x14ac:dyDescent="0.25">
      <c r="B73" s="54"/>
      <c r="C73" s="54"/>
      <c r="E73" s="54"/>
      <c r="F73" s="54"/>
      <c r="H73" s="56"/>
      <c r="I73" s="56"/>
      <c r="J73" s="56"/>
      <c r="K73" s="56"/>
      <c r="L73" s="56"/>
      <c r="M73" s="56"/>
      <c r="N73" s="56"/>
      <c r="O73" s="56"/>
      <c r="Q73" s="56"/>
      <c r="R73" s="56"/>
      <c r="S73" s="56"/>
      <c r="T73" s="56"/>
      <c r="U73" s="56"/>
      <c r="V73" s="56"/>
      <c r="W73" s="56"/>
      <c r="X73" s="56"/>
      <c r="Z73" s="56"/>
      <c r="AA73" s="56"/>
      <c r="AB73" s="56"/>
      <c r="AC73" s="56"/>
      <c r="AD73" s="56"/>
      <c r="AE73" s="56"/>
      <c r="AF73" s="56"/>
      <c r="AG73" s="56"/>
    </row>
    <row r="74" spans="2:33" ht="15" customHeight="1" x14ac:dyDescent="0.25">
      <c r="B74" s="54"/>
      <c r="C74" s="54"/>
      <c r="E74" s="54"/>
      <c r="F74" s="54"/>
      <c r="H74" s="56"/>
      <c r="I74" s="56"/>
      <c r="J74" s="56"/>
      <c r="K74" s="56"/>
      <c r="L74" s="56"/>
      <c r="M74" s="56"/>
      <c r="N74" s="56"/>
      <c r="O74" s="56"/>
      <c r="Q74" s="56"/>
      <c r="R74" s="56"/>
      <c r="S74" s="56"/>
      <c r="T74" s="56"/>
      <c r="U74" s="56"/>
      <c r="V74" s="56"/>
      <c r="W74" s="56"/>
      <c r="X74" s="56"/>
      <c r="Z74" s="56"/>
      <c r="AA74" s="56"/>
      <c r="AB74" s="56"/>
      <c r="AC74" s="56"/>
      <c r="AD74" s="56"/>
      <c r="AE74" s="56"/>
      <c r="AF74" s="56"/>
      <c r="AG74" s="56"/>
    </row>
    <row r="75" spans="2:33" ht="15" customHeight="1" x14ac:dyDescent="0.25">
      <c r="B75" s="54"/>
      <c r="C75" s="54"/>
      <c r="E75" s="54"/>
      <c r="F75" s="54"/>
      <c r="H75" s="56"/>
      <c r="I75" s="56"/>
      <c r="J75" s="56"/>
      <c r="K75" s="56"/>
      <c r="L75" s="56"/>
      <c r="M75" s="56"/>
      <c r="N75" s="56"/>
      <c r="O75" s="56"/>
      <c r="Q75" s="56"/>
      <c r="R75" s="56"/>
      <c r="S75" s="56"/>
      <c r="T75" s="56"/>
      <c r="U75" s="56"/>
      <c r="V75" s="56"/>
      <c r="W75" s="56"/>
      <c r="X75" s="56"/>
      <c r="Z75" s="56"/>
      <c r="AA75" s="56"/>
      <c r="AB75" s="56"/>
      <c r="AC75" s="56"/>
      <c r="AD75" s="56"/>
      <c r="AE75" s="56"/>
      <c r="AF75" s="56"/>
      <c r="AG75" s="56"/>
    </row>
    <row r="76" spans="2:33" ht="15" customHeight="1" x14ac:dyDescent="0.25">
      <c r="B76" s="54"/>
      <c r="C76" s="54"/>
      <c r="E76" s="54"/>
      <c r="F76" s="54"/>
      <c r="H76" s="56"/>
      <c r="I76" s="56"/>
      <c r="J76" s="56"/>
      <c r="K76" s="56"/>
      <c r="L76" s="56"/>
      <c r="M76" s="56"/>
      <c r="N76" s="56"/>
      <c r="O76" s="56"/>
      <c r="Q76" s="56"/>
      <c r="R76" s="56"/>
      <c r="S76" s="56"/>
      <c r="T76" s="56"/>
      <c r="U76" s="56"/>
      <c r="V76" s="56"/>
      <c r="W76" s="56"/>
      <c r="X76" s="56"/>
      <c r="Z76" s="56"/>
      <c r="AA76" s="56"/>
      <c r="AB76" s="56"/>
      <c r="AC76" s="56"/>
      <c r="AD76" s="56"/>
      <c r="AE76" s="56"/>
      <c r="AF76" s="56"/>
      <c r="AG76" s="56"/>
    </row>
    <row r="77" spans="2:33" ht="15" customHeight="1" x14ac:dyDescent="0.25">
      <c r="B77" s="54"/>
      <c r="C77" s="54"/>
      <c r="E77" s="54"/>
      <c r="F77" s="54"/>
      <c r="H77" s="56"/>
      <c r="I77" s="56"/>
      <c r="J77" s="56"/>
      <c r="K77" s="56"/>
      <c r="L77" s="56"/>
      <c r="M77" s="56"/>
      <c r="N77" s="56"/>
      <c r="O77" s="56"/>
      <c r="Q77" s="56"/>
      <c r="R77" s="56"/>
      <c r="S77" s="56"/>
      <c r="T77" s="56"/>
      <c r="U77" s="56"/>
      <c r="V77" s="56"/>
      <c r="W77" s="56"/>
      <c r="X77" s="56"/>
      <c r="Z77" s="56"/>
      <c r="AA77" s="56"/>
      <c r="AB77" s="56"/>
      <c r="AC77" s="56"/>
      <c r="AD77" s="56"/>
      <c r="AE77" s="56"/>
      <c r="AF77" s="56"/>
      <c r="AG77" s="56"/>
    </row>
    <row r="78" spans="2:33" ht="15" customHeight="1" x14ac:dyDescent="0.25">
      <c r="B78" s="54"/>
      <c r="C78" s="54"/>
      <c r="E78" s="54"/>
      <c r="F78" s="54"/>
      <c r="H78" s="56"/>
      <c r="I78" s="56"/>
      <c r="J78" s="56"/>
      <c r="K78" s="56"/>
      <c r="L78" s="56"/>
      <c r="M78" s="56"/>
      <c r="N78" s="56"/>
      <c r="O78" s="56"/>
      <c r="Q78" s="56"/>
      <c r="R78" s="56"/>
      <c r="S78" s="56"/>
      <c r="T78" s="56"/>
      <c r="U78" s="56"/>
      <c r="V78" s="56"/>
      <c r="W78" s="56"/>
      <c r="X78" s="56"/>
      <c r="Z78" s="56"/>
      <c r="AA78" s="56"/>
      <c r="AB78" s="56"/>
      <c r="AC78" s="56"/>
      <c r="AD78" s="56"/>
      <c r="AE78" s="56"/>
      <c r="AF78" s="56"/>
      <c r="AG78" s="56"/>
    </row>
    <row r="79" spans="2:33" ht="15" customHeight="1" x14ac:dyDescent="0.25">
      <c r="B79" s="54"/>
      <c r="C79" s="54"/>
      <c r="E79" s="54"/>
      <c r="F79" s="54"/>
      <c r="H79" s="56"/>
      <c r="I79" s="56"/>
      <c r="J79" s="56"/>
      <c r="K79" s="56"/>
      <c r="L79" s="56"/>
      <c r="M79" s="56"/>
      <c r="N79" s="56"/>
      <c r="O79" s="56"/>
      <c r="Q79" s="56"/>
      <c r="R79" s="56"/>
      <c r="S79" s="56"/>
      <c r="T79" s="56"/>
      <c r="U79" s="56"/>
      <c r="V79" s="56"/>
      <c r="W79" s="56"/>
      <c r="X79" s="56"/>
      <c r="Z79" s="56"/>
      <c r="AA79" s="56"/>
      <c r="AB79" s="56"/>
      <c r="AC79" s="56"/>
      <c r="AD79" s="56"/>
      <c r="AE79" s="56"/>
      <c r="AF79" s="56"/>
      <c r="AG79" s="56"/>
    </row>
    <row r="80" spans="2:33" ht="15" customHeight="1" x14ac:dyDescent="0.25">
      <c r="B80" s="54"/>
      <c r="C80" s="54"/>
      <c r="E80" s="54"/>
      <c r="F80" s="54"/>
      <c r="H80" s="56"/>
      <c r="I80" s="56"/>
      <c r="J80" s="56"/>
      <c r="K80" s="56"/>
      <c r="L80" s="56"/>
      <c r="M80" s="56"/>
      <c r="N80" s="56"/>
      <c r="O80" s="56"/>
      <c r="Q80" s="56"/>
      <c r="R80" s="56"/>
      <c r="S80" s="56"/>
      <c r="T80" s="56"/>
      <c r="U80" s="56"/>
      <c r="V80" s="56"/>
      <c r="W80" s="56"/>
      <c r="X80" s="56"/>
      <c r="Z80" s="56"/>
      <c r="AA80" s="56"/>
      <c r="AB80" s="56"/>
      <c r="AC80" s="56"/>
      <c r="AD80" s="56"/>
      <c r="AE80" s="56"/>
      <c r="AF80" s="56"/>
      <c r="AG80" s="56"/>
    </row>
    <row r="81" spans="2:34" ht="15" customHeight="1" x14ac:dyDescent="0.25">
      <c r="B81" s="54"/>
      <c r="C81" s="54"/>
      <c r="E81" s="54"/>
      <c r="F81" s="54"/>
      <c r="H81" s="56"/>
      <c r="I81" s="56"/>
      <c r="J81" s="56"/>
      <c r="K81" s="56"/>
      <c r="L81" s="56"/>
      <c r="M81" s="56"/>
      <c r="N81" s="56"/>
      <c r="O81" s="56"/>
      <c r="Q81" s="56"/>
      <c r="R81" s="56"/>
      <c r="S81" s="56"/>
      <c r="T81" s="56"/>
      <c r="U81" s="56"/>
      <c r="V81" s="56"/>
      <c r="W81" s="56"/>
      <c r="X81" s="56"/>
      <c r="Z81" s="56"/>
      <c r="AA81" s="56"/>
      <c r="AB81" s="56"/>
      <c r="AC81" s="56"/>
      <c r="AD81" s="56"/>
      <c r="AE81" s="56"/>
      <c r="AF81" s="56"/>
      <c r="AG81" s="56"/>
    </row>
    <row r="82" spans="2:34" ht="15" customHeight="1" x14ac:dyDescent="0.25">
      <c r="B82" s="54"/>
      <c r="C82" s="54"/>
      <c r="E82" s="54"/>
      <c r="F82" s="54"/>
      <c r="H82" s="56"/>
      <c r="I82" s="56"/>
      <c r="J82" s="56"/>
      <c r="K82" s="56"/>
      <c r="L82" s="56"/>
      <c r="M82" s="56"/>
      <c r="N82" s="56"/>
      <c r="O82" s="56"/>
      <c r="Q82" s="56"/>
      <c r="R82" s="56"/>
      <c r="S82" s="56"/>
      <c r="T82" s="56"/>
      <c r="U82" s="56"/>
      <c r="V82" s="56"/>
      <c r="W82" s="56"/>
      <c r="X82" s="56"/>
      <c r="Z82" s="56"/>
      <c r="AA82" s="56"/>
      <c r="AB82" s="56"/>
      <c r="AC82" s="56"/>
      <c r="AD82" s="56"/>
      <c r="AE82" s="56"/>
      <c r="AF82" s="56"/>
      <c r="AG82" s="56"/>
    </row>
    <row r="83" spans="2:34" ht="15" customHeight="1" x14ac:dyDescent="0.25">
      <c r="B83" s="54"/>
      <c r="C83" s="54"/>
      <c r="E83" s="54"/>
      <c r="F83" s="54"/>
      <c r="H83" s="56"/>
      <c r="I83" s="56"/>
      <c r="J83" s="56"/>
      <c r="K83" s="56"/>
      <c r="L83" s="56"/>
      <c r="M83" s="56"/>
      <c r="N83" s="56"/>
      <c r="O83" s="56"/>
      <c r="Q83" s="56"/>
      <c r="R83" s="56"/>
      <c r="S83" s="56"/>
      <c r="T83" s="56"/>
      <c r="U83" s="56"/>
      <c r="V83" s="56"/>
      <c r="W83" s="56"/>
      <c r="X83" s="56"/>
      <c r="Z83" s="56"/>
      <c r="AA83" s="56"/>
      <c r="AB83" s="56"/>
      <c r="AC83" s="56"/>
      <c r="AD83" s="56"/>
      <c r="AE83" s="56"/>
      <c r="AF83" s="56"/>
      <c r="AG83" s="56"/>
    </row>
    <row r="84" spans="2:34" ht="15" customHeight="1" x14ac:dyDescent="0.25">
      <c r="B84" s="54"/>
      <c r="C84" s="54"/>
      <c r="E84" s="54"/>
      <c r="F84" s="54"/>
      <c r="H84" s="56"/>
      <c r="I84" s="56"/>
      <c r="J84" s="56"/>
      <c r="K84" s="56"/>
      <c r="L84" s="56"/>
      <c r="M84" s="56"/>
      <c r="N84" s="56"/>
      <c r="O84" s="56"/>
      <c r="Q84" s="56"/>
      <c r="R84" s="56"/>
      <c r="S84" s="56"/>
      <c r="T84" s="56"/>
      <c r="U84" s="56"/>
      <c r="V84" s="56"/>
      <c r="W84" s="56"/>
      <c r="X84" s="56"/>
      <c r="Z84" s="56"/>
      <c r="AA84" s="56"/>
      <c r="AB84" s="56"/>
      <c r="AC84" s="56"/>
      <c r="AD84" s="56"/>
      <c r="AE84" s="56"/>
      <c r="AF84" s="56"/>
      <c r="AG84" s="56"/>
    </row>
    <row r="85" spans="2:34" ht="15" customHeight="1" x14ac:dyDescent="0.25">
      <c r="B85" s="54"/>
      <c r="C85" s="54"/>
      <c r="E85" s="54"/>
      <c r="F85" s="54"/>
      <c r="H85" s="56"/>
      <c r="I85" s="56"/>
      <c r="J85" s="56"/>
      <c r="K85" s="56"/>
      <c r="L85" s="56"/>
      <c r="M85" s="56"/>
      <c r="N85" s="56"/>
      <c r="O85" s="56"/>
      <c r="Q85" s="56"/>
      <c r="R85" s="56"/>
      <c r="S85" s="56"/>
      <c r="T85" s="56"/>
      <c r="U85" s="56"/>
      <c r="V85" s="56"/>
      <c r="W85" s="56"/>
      <c r="X85" s="56"/>
      <c r="Z85" s="56"/>
      <c r="AA85" s="56"/>
      <c r="AB85" s="56"/>
      <c r="AC85" s="56"/>
      <c r="AD85" s="56"/>
      <c r="AE85" s="56"/>
      <c r="AF85" s="56"/>
      <c r="AG85" s="56"/>
    </row>
    <row r="86" spans="2:34" ht="15" customHeight="1" x14ac:dyDescent="0.25">
      <c r="B86" s="54"/>
      <c r="C86" s="54"/>
      <c r="E86" s="54"/>
      <c r="F86" s="54"/>
      <c r="H86" s="56"/>
      <c r="I86" s="56"/>
      <c r="J86" s="56"/>
      <c r="K86" s="56"/>
      <c r="L86" s="56"/>
      <c r="M86" s="56"/>
      <c r="N86" s="56"/>
      <c r="O86" s="56"/>
      <c r="Q86" s="56"/>
      <c r="R86" s="56"/>
      <c r="S86" s="56"/>
      <c r="T86" s="56"/>
      <c r="U86" s="56"/>
      <c r="V86" s="56"/>
      <c r="W86" s="56"/>
      <c r="X86" s="56"/>
      <c r="Z86" s="56"/>
      <c r="AA86" s="56"/>
      <c r="AB86" s="56"/>
      <c r="AC86" s="56"/>
      <c r="AD86" s="56"/>
      <c r="AE86" s="56"/>
      <c r="AF86" s="56"/>
      <c r="AG86" s="56"/>
    </row>
    <row r="87" spans="2:34" ht="15" customHeight="1" x14ac:dyDescent="0.25">
      <c r="B87" s="54"/>
      <c r="C87" s="54"/>
      <c r="E87" s="54"/>
      <c r="F87" s="54"/>
      <c r="H87" s="56"/>
      <c r="I87" s="56"/>
      <c r="J87" s="56"/>
      <c r="K87" s="56"/>
      <c r="L87" s="56"/>
      <c r="M87" s="56"/>
      <c r="N87" s="56"/>
      <c r="O87" s="56"/>
      <c r="Q87" s="56"/>
      <c r="R87" s="56"/>
      <c r="S87" s="56"/>
      <c r="T87" s="56"/>
      <c r="U87" s="56"/>
      <c r="V87" s="56"/>
      <c r="W87" s="56"/>
      <c r="X87" s="56"/>
      <c r="Z87" s="56"/>
      <c r="AA87" s="56"/>
      <c r="AB87" s="56"/>
      <c r="AC87" s="56"/>
      <c r="AD87" s="56"/>
      <c r="AE87" s="56"/>
      <c r="AF87" s="56"/>
      <c r="AG87" s="56"/>
    </row>
    <row r="88" spans="2:34" ht="15" customHeight="1" x14ac:dyDescent="0.25">
      <c r="B88" s="54"/>
      <c r="C88" s="54"/>
      <c r="E88" s="54"/>
      <c r="F88" s="54"/>
      <c r="H88" s="56"/>
      <c r="I88" s="56"/>
      <c r="J88" s="56"/>
      <c r="K88" s="56"/>
      <c r="L88" s="56"/>
      <c r="M88" s="56"/>
      <c r="N88" s="56"/>
      <c r="O88" s="56"/>
      <c r="Q88" s="56"/>
      <c r="R88" s="56"/>
      <c r="S88" s="56"/>
      <c r="T88" s="56"/>
      <c r="U88" s="56"/>
      <c r="V88" s="56"/>
      <c r="W88" s="56"/>
      <c r="X88" s="56"/>
      <c r="Z88" s="56"/>
      <c r="AA88" s="56"/>
      <c r="AB88" s="56"/>
      <c r="AC88" s="56"/>
      <c r="AD88" s="56"/>
      <c r="AE88" s="56"/>
      <c r="AF88" s="56"/>
      <c r="AG88" s="56"/>
    </row>
    <row r="89" spans="2:34" ht="15" customHeight="1" x14ac:dyDescent="0.25">
      <c r="B89" s="54"/>
      <c r="C89" s="54"/>
      <c r="E89" s="54"/>
      <c r="F89" s="54"/>
      <c r="H89" s="56"/>
      <c r="I89" s="56"/>
      <c r="J89" s="56"/>
      <c r="K89" s="56"/>
      <c r="L89" s="56"/>
      <c r="M89" s="56"/>
      <c r="N89" s="56"/>
      <c r="O89" s="56"/>
      <c r="Q89" s="56"/>
      <c r="R89" s="56"/>
      <c r="S89" s="56"/>
      <c r="T89" s="56"/>
      <c r="U89" s="56"/>
      <c r="V89" s="56"/>
      <c r="W89" s="56"/>
      <c r="X89" s="56"/>
      <c r="Z89" s="56"/>
      <c r="AA89" s="56"/>
      <c r="AB89" s="56"/>
      <c r="AC89" s="56"/>
      <c r="AD89" s="56"/>
      <c r="AE89" s="56"/>
      <c r="AF89" s="56"/>
      <c r="AG89" s="56"/>
    </row>
    <row r="90" spans="2:34" ht="15" customHeight="1" x14ac:dyDescent="0.25"/>
    <row r="91" spans="2:34" ht="15" customHeight="1" x14ac:dyDescent="0.25"/>
    <row r="92" spans="2:34" ht="15" customHeight="1" x14ac:dyDescent="0.25"/>
    <row r="93" spans="2:34" s="10" customFormat="1" ht="15" customHeight="1" x14ac:dyDescent="0.2">
      <c r="D93" s="15"/>
      <c r="G93" s="60"/>
      <c r="H93" s="59"/>
      <c r="I93" s="59"/>
      <c r="J93" s="59"/>
      <c r="K93" s="59"/>
      <c r="L93" s="59"/>
      <c r="M93" s="59"/>
      <c r="N93" s="59"/>
      <c r="O93" s="59"/>
      <c r="P93" s="26"/>
      <c r="Q93" s="59"/>
      <c r="R93" s="59"/>
      <c r="S93" s="59"/>
      <c r="T93" s="59"/>
      <c r="U93" s="59"/>
      <c r="V93" s="59"/>
      <c r="W93" s="59"/>
      <c r="X93" s="59"/>
      <c r="Y93" s="60"/>
      <c r="Z93" s="59"/>
      <c r="AA93" s="59"/>
      <c r="AB93" s="59"/>
      <c r="AC93" s="59"/>
      <c r="AD93" s="59"/>
      <c r="AE93" s="59"/>
      <c r="AF93" s="59"/>
      <c r="AG93" s="59"/>
      <c r="AH93" s="128"/>
    </row>
    <row r="94" spans="2:34" s="10" customFormat="1" ht="15" customHeight="1" x14ac:dyDescent="0.2">
      <c r="D94" s="15"/>
      <c r="G94" s="60"/>
      <c r="H94" s="59"/>
      <c r="I94" s="59"/>
      <c r="J94" s="59"/>
      <c r="K94" s="59"/>
      <c r="L94" s="59"/>
      <c r="M94" s="59"/>
      <c r="N94" s="59"/>
      <c r="O94" s="59"/>
      <c r="P94" s="26"/>
      <c r="Q94" s="59"/>
      <c r="R94" s="59"/>
      <c r="S94" s="59"/>
      <c r="T94" s="59"/>
      <c r="U94" s="59"/>
      <c r="V94" s="59"/>
      <c r="W94" s="59"/>
      <c r="X94" s="59"/>
      <c r="Y94" s="60"/>
      <c r="Z94" s="59"/>
      <c r="AA94" s="59"/>
      <c r="AB94" s="59"/>
      <c r="AC94" s="59"/>
      <c r="AD94" s="59"/>
      <c r="AE94" s="59"/>
      <c r="AF94" s="59"/>
      <c r="AG94" s="59"/>
      <c r="AH94" s="128"/>
    </row>
    <row r="95" spans="2:34" s="10" customFormat="1" ht="15" customHeight="1" x14ac:dyDescent="0.2">
      <c r="D95" s="15"/>
      <c r="G95" s="60"/>
      <c r="H95" s="59"/>
      <c r="I95" s="59"/>
      <c r="J95" s="59"/>
      <c r="K95" s="59"/>
      <c r="L95" s="59"/>
      <c r="M95" s="59"/>
      <c r="N95" s="59"/>
      <c r="O95" s="59"/>
      <c r="P95" s="26"/>
      <c r="Q95" s="59"/>
      <c r="R95" s="59"/>
      <c r="S95" s="59"/>
      <c r="T95" s="59"/>
      <c r="U95" s="59"/>
      <c r="V95" s="59"/>
      <c r="W95" s="59"/>
      <c r="X95" s="59"/>
      <c r="Y95" s="60"/>
      <c r="Z95" s="59"/>
      <c r="AA95" s="59"/>
      <c r="AB95" s="59"/>
      <c r="AC95" s="59"/>
      <c r="AD95" s="59"/>
      <c r="AE95" s="59"/>
      <c r="AF95" s="59"/>
      <c r="AG95" s="59"/>
      <c r="AH95" s="128"/>
    </row>
    <row r="96" spans="2:34" s="10" customFormat="1" ht="15" customHeight="1" x14ac:dyDescent="0.2">
      <c r="D96" s="15"/>
      <c r="G96" s="60"/>
      <c r="H96" s="59"/>
      <c r="I96" s="59"/>
      <c r="J96" s="59"/>
      <c r="K96" s="59"/>
      <c r="L96" s="59"/>
      <c r="M96" s="59"/>
      <c r="N96" s="59"/>
      <c r="O96" s="59"/>
      <c r="P96" s="26"/>
      <c r="Q96" s="59"/>
      <c r="R96" s="59"/>
      <c r="S96" s="59"/>
      <c r="T96" s="59"/>
      <c r="U96" s="59"/>
      <c r="V96" s="59"/>
      <c r="W96" s="59"/>
      <c r="X96" s="59"/>
      <c r="Y96" s="60"/>
      <c r="Z96" s="59"/>
      <c r="AA96" s="59"/>
      <c r="AB96" s="59"/>
      <c r="AC96" s="59"/>
      <c r="AD96" s="59"/>
      <c r="AE96" s="59"/>
      <c r="AF96" s="59"/>
      <c r="AG96" s="59"/>
      <c r="AH96" s="128"/>
    </row>
    <row r="97" spans="1:34" s="10" customFormat="1" ht="15" customHeight="1" x14ac:dyDescent="0.2">
      <c r="D97" s="15"/>
      <c r="G97" s="60"/>
      <c r="H97" s="59"/>
      <c r="I97" s="59"/>
      <c r="J97" s="59"/>
      <c r="K97" s="59"/>
      <c r="L97" s="59"/>
      <c r="M97" s="59"/>
      <c r="N97" s="59"/>
      <c r="O97" s="59"/>
      <c r="P97" s="26"/>
      <c r="Q97" s="59"/>
      <c r="R97" s="59"/>
      <c r="S97" s="59"/>
      <c r="T97" s="59"/>
      <c r="U97" s="59"/>
      <c r="V97" s="59"/>
      <c r="W97" s="59"/>
      <c r="X97" s="59"/>
      <c r="Y97" s="60"/>
      <c r="Z97" s="59"/>
      <c r="AA97" s="59"/>
      <c r="AB97" s="59"/>
      <c r="AC97" s="59"/>
      <c r="AD97" s="59"/>
      <c r="AE97" s="59"/>
      <c r="AF97" s="59"/>
      <c r="AG97" s="59"/>
      <c r="AH97" s="128"/>
    </row>
    <row r="105" spans="1:34" x14ac:dyDescent="0.25">
      <c r="A105" s="3"/>
      <c r="B105" s="3"/>
      <c r="C105" s="3"/>
      <c r="D105" s="16"/>
      <c r="E105" s="3"/>
      <c r="F105" s="3"/>
      <c r="G105" s="19"/>
      <c r="H105" s="3"/>
      <c r="I105" s="3"/>
      <c r="J105" s="3"/>
      <c r="K105" s="3"/>
      <c r="L105" s="3"/>
      <c r="M105" s="3"/>
      <c r="N105" s="3"/>
      <c r="O105" s="3"/>
      <c r="P105" s="27"/>
      <c r="Q105" s="3"/>
      <c r="R105" s="3"/>
      <c r="S105" s="3"/>
      <c r="T105" s="3"/>
      <c r="U105" s="3"/>
      <c r="V105" s="3"/>
      <c r="W105" s="3"/>
      <c r="X105" s="3"/>
      <c r="Y105" s="19"/>
      <c r="Z105" s="3"/>
      <c r="AA105" s="3"/>
      <c r="AB105" s="3"/>
      <c r="AC105" s="3"/>
      <c r="AD105" s="3"/>
      <c r="AE105" s="3"/>
      <c r="AF105" s="3"/>
    </row>
    <row r="106" spans="1:34" x14ac:dyDescent="0.25">
      <c r="A106" s="3"/>
      <c r="B106" s="3"/>
      <c r="C106" s="3"/>
      <c r="D106" s="16"/>
      <c r="E106" s="3"/>
      <c r="F106" s="3"/>
      <c r="G106" s="19"/>
      <c r="H106" s="3"/>
      <c r="I106" s="3"/>
      <c r="J106" s="3"/>
      <c r="K106" s="3"/>
      <c r="L106" s="3"/>
      <c r="M106" s="3"/>
      <c r="N106" s="3"/>
      <c r="O106" s="3"/>
      <c r="P106" s="27"/>
      <c r="Q106" s="3"/>
      <c r="R106" s="3"/>
      <c r="S106" s="3"/>
      <c r="T106" s="3"/>
      <c r="U106" s="3"/>
      <c r="V106" s="3"/>
      <c r="W106" s="3"/>
      <c r="X106" s="3"/>
      <c r="Y106" s="19"/>
      <c r="Z106" s="3"/>
      <c r="AA106" s="3"/>
      <c r="AB106" s="3"/>
      <c r="AC106" s="3"/>
      <c r="AD106" s="3"/>
      <c r="AE106" s="3"/>
      <c r="AF106" s="3"/>
    </row>
    <row r="107" spans="1:34" x14ac:dyDescent="0.25">
      <c r="A107" s="3"/>
      <c r="B107" s="3"/>
      <c r="C107" s="3"/>
      <c r="D107" s="16"/>
      <c r="E107" s="3"/>
      <c r="F107" s="3"/>
      <c r="G107" s="19"/>
      <c r="H107" s="3"/>
      <c r="I107" s="3"/>
      <c r="J107" s="3"/>
      <c r="K107" s="3"/>
      <c r="L107" s="3"/>
      <c r="M107" s="3"/>
      <c r="N107" s="3"/>
      <c r="O107" s="3"/>
      <c r="P107" s="27"/>
      <c r="Q107" s="3"/>
      <c r="R107" s="3"/>
      <c r="S107" s="3"/>
      <c r="T107" s="3"/>
      <c r="U107" s="3"/>
      <c r="V107" s="3"/>
      <c r="W107" s="3"/>
      <c r="X107" s="3"/>
      <c r="Y107" s="19"/>
      <c r="Z107" s="3"/>
      <c r="AA107" s="3"/>
      <c r="AB107" s="3"/>
      <c r="AC107" s="3"/>
      <c r="AD107" s="3"/>
      <c r="AE107" s="3"/>
      <c r="AF107" s="3"/>
    </row>
    <row r="108" spans="1:34" x14ac:dyDescent="0.25">
      <c r="A108" s="3"/>
      <c r="B108" s="3"/>
      <c r="C108" s="3"/>
      <c r="D108" s="16"/>
      <c r="E108" s="3"/>
      <c r="F108" s="3"/>
      <c r="G108" s="19"/>
      <c r="H108" s="3"/>
      <c r="I108" s="3"/>
      <c r="J108" s="3"/>
      <c r="K108" s="3"/>
      <c r="L108" s="3"/>
      <c r="M108" s="3"/>
      <c r="N108" s="3"/>
      <c r="O108" s="3"/>
      <c r="P108" s="27"/>
      <c r="Q108" s="3"/>
      <c r="R108" s="3"/>
      <c r="S108" s="3"/>
      <c r="T108" s="3"/>
      <c r="U108" s="3"/>
      <c r="V108" s="3"/>
      <c r="W108" s="3"/>
      <c r="X108" s="3"/>
      <c r="Y108" s="19"/>
      <c r="Z108" s="3"/>
      <c r="AA108" s="3"/>
      <c r="AB108" s="3"/>
      <c r="AC108" s="3"/>
      <c r="AD108" s="3"/>
      <c r="AE108" s="3"/>
      <c r="AF108" s="3"/>
    </row>
    <row r="109" spans="1:34" x14ac:dyDescent="0.25">
      <c r="A109" s="3"/>
      <c r="B109" s="3"/>
      <c r="C109" s="3"/>
      <c r="D109" s="16"/>
      <c r="E109" s="3"/>
      <c r="F109" s="3"/>
      <c r="G109" s="19"/>
      <c r="H109" s="3"/>
      <c r="I109" s="3"/>
      <c r="J109" s="3"/>
      <c r="K109" s="3"/>
      <c r="L109" s="3"/>
      <c r="M109" s="3"/>
      <c r="N109" s="3"/>
      <c r="O109" s="3"/>
      <c r="P109" s="27"/>
      <c r="Q109" s="3"/>
      <c r="R109" s="3"/>
      <c r="S109" s="3"/>
      <c r="T109" s="3"/>
      <c r="U109" s="3"/>
      <c r="V109" s="3"/>
      <c r="W109" s="3"/>
      <c r="X109" s="3"/>
      <c r="Y109" s="19"/>
      <c r="Z109" s="3"/>
      <c r="AA109" s="3"/>
      <c r="AB109" s="3"/>
      <c r="AC109" s="3"/>
      <c r="AD109" s="3"/>
      <c r="AE109" s="3"/>
      <c r="AF109" s="3"/>
    </row>
    <row r="110" spans="1:34" x14ac:dyDescent="0.25">
      <c r="A110" s="3"/>
      <c r="B110" s="3"/>
      <c r="C110" s="3"/>
      <c r="D110" s="16"/>
      <c r="E110" s="3"/>
      <c r="F110" s="3"/>
      <c r="G110" s="19"/>
      <c r="H110" s="3"/>
      <c r="I110" s="3"/>
      <c r="J110" s="3"/>
      <c r="K110" s="3"/>
      <c r="L110" s="3"/>
      <c r="M110" s="3"/>
      <c r="N110" s="3"/>
      <c r="O110" s="3"/>
      <c r="P110" s="27"/>
      <c r="Q110" s="3"/>
      <c r="R110" s="3"/>
      <c r="S110" s="3"/>
      <c r="T110" s="3"/>
      <c r="U110" s="3"/>
      <c r="V110" s="3"/>
      <c r="W110" s="3"/>
      <c r="X110" s="3"/>
      <c r="Y110" s="19"/>
      <c r="Z110" s="3"/>
      <c r="AA110" s="3"/>
      <c r="AB110" s="3"/>
      <c r="AC110" s="3"/>
      <c r="AD110" s="3"/>
      <c r="AE110" s="3"/>
      <c r="AF110" s="3"/>
    </row>
    <row r="111" spans="1:34" x14ac:dyDescent="0.25">
      <c r="A111" s="3"/>
      <c r="B111" s="3"/>
      <c r="C111" s="3"/>
      <c r="D111" s="16"/>
      <c r="E111" s="3"/>
      <c r="F111" s="3"/>
      <c r="G111" s="19"/>
      <c r="H111" s="3"/>
      <c r="I111" s="3"/>
      <c r="J111" s="3"/>
      <c r="K111" s="3"/>
      <c r="L111" s="3"/>
      <c r="M111" s="3"/>
      <c r="N111" s="3"/>
      <c r="O111" s="3"/>
      <c r="P111" s="27"/>
      <c r="Q111" s="3"/>
      <c r="R111" s="3"/>
      <c r="S111" s="3"/>
      <c r="T111" s="3"/>
      <c r="U111" s="3"/>
      <c r="V111" s="3"/>
      <c r="W111" s="3"/>
      <c r="X111" s="3"/>
      <c r="Y111" s="19"/>
      <c r="Z111" s="3"/>
      <c r="AA111" s="3"/>
      <c r="AB111" s="3"/>
      <c r="AC111" s="3"/>
      <c r="AD111" s="3"/>
      <c r="AE111" s="3"/>
      <c r="AF111" s="3"/>
    </row>
    <row r="112" spans="1:34" x14ac:dyDescent="0.25">
      <c r="A112" s="3"/>
      <c r="B112" s="4"/>
      <c r="C112" s="3"/>
      <c r="D112" s="16"/>
      <c r="E112" s="3"/>
      <c r="F112" s="5"/>
      <c r="G112" s="19"/>
      <c r="H112" s="3"/>
      <c r="I112" s="6"/>
      <c r="J112" s="6"/>
      <c r="K112" s="80"/>
      <c r="L112" s="7"/>
      <c r="M112" s="6"/>
      <c r="N112" s="6"/>
      <c r="O112" s="6"/>
      <c r="P112" s="28"/>
      <c r="Q112" s="6"/>
      <c r="R112" s="8"/>
      <c r="S112" s="3"/>
      <c r="T112" s="3"/>
      <c r="U112" s="3"/>
      <c r="V112" s="9"/>
      <c r="W112" s="9"/>
      <c r="X112" s="9"/>
      <c r="Y112" s="22"/>
      <c r="Z112" s="9"/>
      <c r="AA112" s="3"/>
      <c r="AB112" s="3"/>
      <c r="AC112" s="3"/>
      <c r="AD112" s="9"/>
      <c r="AE112" s="9"/>
      <c r="AF112" s="9"/>
    </row>
    <row r="113" spans="1:32" x14ac:dyDescent="0.25">
      <c r="A113" s="3"/>
      <c r="B113" s="3"/>
      <c r="C113" s="3"/>
      <c r="D113" s="16"/>
      <c r="E113" s="3"/>
      <c r="F113" s="3"/>
      <c r="G113" s="19"/>
      <c r="H113" s="3"/>
      <c r="I113" s="3"/>
      <c r="J113" s="3"/>
      <c r="K113" s="3"/>
      <c r="L113" s="3"/>
      <c r="M113" s="3"/>
      <c r="N113" s="3"/>
      <c r="O113" s="3"/>
      <c r="P113" s="27"/>
      <c r="Q113" s="3"/>
      <c r="R113" s="3"/>
      <c r="S113" s="3"/>
      <c r="T113" s="3"/>
      <c r="U113" s="3"/>
      <c r="V113" s="3"/>
      <c r="W113" s="3"/>
      <c r="X113" s="3"/>
      <c r="Y113" s="19"/>
      <c r="Z113" s="3"/>
      <c r="AA113" s="3"/>
      <c r="AB113" s="3"/>
      <c r="AC113" s="3"/>
      <c r="AD113" s="3"/>
      <c r="AE113" s="3"/>
      <c r="AF113" s="3"/>
    </row>
    <row r="114" spans="1:32" x14ac:dyDescent="0.25">
      <c r="A114" s="3"/>
      <c r="B114" s="3"/>
      <c r="C114" s="3"/>
      <c r="D114" s="16"/>
      <c r="E114" s="3"/>
      <c r="F114" s="3"/>
      <c r="G114" s="19"/>
      <c r="H114" s="3"/>
      <c r="I114" s="3"/>
      <c r="J114" s="3"/>
      <c r="K114" s="3"/>
      <c r="L114" s="3"/>
      <c r="M114" s="3"/>
      <c r="N114" s="3"/>
      <c r="O114" s="3"/>
      <c r="P114" s="27"/>
      <c r="Q114" s="3"/>
      <c r="R114" s="3"/>
      <c r="S114" s="3"/>
      <c r="T114" s="3"/>
      <c r="U114" s="3"/>
      <c r="V114" s="3"/>
      <c r="W114" s="3"/>
      <c r="X114" s="3"/>
      <c r="Y114" s="19"/>
      <c r="Z114" s="3"/>
      <c r="AA114" s="3"/>
      <c r="AB114" s="3"/>
      <c r="AC114" s="3"/>
      <c r="AD114" s="3"/>
      <c r="AE114" s="3"/>
      <c r="AF114" s="3"/>
    </row>
    <row r="115" spans="1:32" x14ac:dyDescent="0.25">
      <c r="A115" s="3"/>
      <c r="B115" s="3"/>
      <c r="C115" s="3"/>
      <c r="D115" s="16"/>
      <c r="E115" s="3"/>
      <c r="F115" s="3"/>
      <c r="G115" s="19"/>
      <c r="H115" s="3"/>
      <c r="I115" s="3"/>
      <c r="J115" s="3"/>
      <c r="K115" s="3"/>
      <c r="L115" s="3"/>
      <c r="M115" s="3"/>
      <c r="N115" s="3"/>
      <c r="O115" s="3"/>
      <c r="P115" s="27"/>
      <c r="Q115" s="3"/>
      <c r="R115" s="3"/>
      <c r="S115" s="3"/>
      <c r="T115" s="3"/>
      <c r="U115" s="3"/>
      <c r="V115" s="3"/>
      <c r="W115" s="3"/>
      <c r="X115" s="3"/>
      <c r="Y115" s="19"/>
      <c r="Z115" s="3"/>
      <c r="AA115" s="3"/>
      <c r="AB115" s="3"/>
      <c r="AC115" s="3"/>
      <c r="AD115" s="3"/>
      <c r="AE115" s="3"/>
      <c r="AF115" s="3"/>
    </row>
    <row r="116" spans="1:32" x14ac:dyDescent="0.25">
      <c r="A116" s="3"/>
      <c r="B116" s="3"/>
      <c r="C116" s="3"/>
      <c r="D116" s="16"/>
      <c r="E116" s="3"/>
      <c r="F116" s="3"/>
      <c r="G116" s="19"/>
      <c r="H116" s="3"/>
      <c r="I116" s="3"/>
      <c r="J116" s="3"/>
      <c r="K116" s="3"/>
      <c r="L116" s="3"/>
      <c r="M116" s="3"/>
      <c r="N116" s="3"/>
      <c r="O116" s="3"/>
      <c r="P116" s="27"/>
      <c r="Q116" s="3"/>
      <c r="R116" s="3"/>
      <c r="S116" s="3"/>
      <c r="T116" s="3"/>
      <c r="U116" s="3"/>
      <c r="V116" s="3"/>
      <c r="W116" s="3"/>
      <c r="X116" s="3"/>
      <c r="Y116" s="19"/>
      <c r="Z116" s="3"/>
      <c r="AA116" s="3"/>
      <c r="AB116" s="3"/>
      <c r="AC116" s="3"/>
      <c r="AD116" s="3"/>
      <c r="AE116" s="3"/>
      <c r="AF116" s="3"/>
    </row>
    <row r="117" spans="1:32" x14ac:dyDescent="0.25">
      <c r="A117" s="3"/>
      <c r="B117" s="3"/>
      <c r="C117" s="3"/>
      <c r="D117" s="16"/>
      <c r="E117" s="3"/>
      <c r="F117" s="3"/>
      <c r="G117" s="19"/>
      <c r="H117" s="3"/>
      <c r="I117" s="3"/>
      <c r="J117" s="3"/>
      <c r="K117" s="3"/>
      <c r="L117" s="3"/>
      <c r="M117" s="3"/>
      <c r="N117" s="3"/>
      <c r="O117" s="3"/>
      <c r="P117" s="27"/>
      <c r="Q117" s="3"/>
      <c r="R117" s="3"/>
      <c r="S117" s="3"/>
      <c r="T117" s="3"/>
      <c r="U117" s="3"/>
      <c r="V117" s="3"/>
      <c r="W117" s="3"/>
      <c r="X117" s="3"/>
      <c r="Y117" s="19"/>
      <c r="Z117" s="3"/>
      <c r="AA117" s="3"/>
      <c r="AB117" s="3"/>
      <c r="AC117" s="3"/>
      <c r="AD117" s="3"/>
      <c r="AE117" s="3"/>
      <c r="AF117" s="3"/>
    </row>
    <row r="118" spans="1:32" x14ac:dyDescent="0.25">
      <c r="A118" s="3"/>
      <c r="B118" s="3"/>
      <c r="C118" s="3"/>
      <c r="D118" s="16"/>
      <c r="E118" s="3"/>
      <c r="F118" s="3"/>
      <c r="G118" s="19"/>
      <c r="H118" s="3"/>
      <c r="I118" s="3"/>
      <c r="J118" s="3"/>
      <c r="K118" s="3"/>
      <c r="L118" s="3"/>
      <c r="M118" s="3"/>
      <c r="N118" s="3"/>
      <c r="O118" s="3"/>
      <c r="P118" s="27"/>
      <c r="Q118" s="3"/>
      <c r="R118" s="3"/>
      <c r="S118" s="3"/>
      <c r="T118" s="3"/>
      <c r="U118" s="3"/>
      <c r="V118" s="3"/>
      <c r="W118" s="3"/>
      <c r="X118" s="3"/>
      <c r="Y118" s="19"/>
      <c r="Z118" s="3"/>
      <c r="AA118" s="3"/>
      <c r="AB118" s="3"/>
      <c r="AC118" s="3"/>
      <c r="AD118" s="3"/>
      <c r="AE118" s="3"/>
      <c r="AF118" s="3"/>
    </row>
    <row r="119" spans="1:32" x14ac:dyDescent="0.25">
      <c r="A119" s="3"/>
      <c r="B119" s="3"/>
      <c r="C119" s="3"/>
      <c r="D119" s="16"/>
      <c r="E119" s="3"/>
      <c r="F119" s="3"/>
      <c r="G119" s="19"/>
      <c r="H119" s="3"/>
      <c r="I119" s="3"/>
      <c r="J119" s="3"/>
      <c r="K119" s="3"/>
      <c r="L119" s="3"/>
      <c r="M119" s="3"/>
      <c r="N119" s="3"/>
      <c r="O119" s="3"/>
      <c r="P119" s="27"/>
      <c r="Q119" s="3"/>
      <c r="R119" s="3"/>
      <c r="S119" s="3"/>
      <c r="T119" s="3"/>
      <c r="U119" s="3"/>
      <c r="V119" s="3"/>
      <c r="W119" s="3"/>
      <c r="X119" s="3"/>
      <c r="Y119" s="19"/>
      <c r="Z119" s="3"/>
      <c r="AA119" s="3"/>
      <c r="AB119" s="3"/>
      <c r="AC119" s="3"/>
      <c r="AD119" s="3"/>
      <c r="AE119" s="3"/>
      <c r="AF119" s="3"/>
    </row>
    <row r="120" spans="1:32" x14ac:dyDescent="0.25">
      <c r="A120" s="3"/>
      <c r="B120" s="3"/>
      <c r="C120" s="3"/>
      <c r="D120" s="16"/>
      <c r="E120" s="3"/>
      <c r="F120" s="3"/>
      <c r="G120" s="19"/>
      <c r="H120" s="3"/>
      <c r="I120" s="3"/>
      <c r="J120" s="3"/>
      <c r="K120" s="3"/>
      <c r="L120" s="3"/>
      <c r="M120" s="3"/>
      <c r="N120" s="3"/>
      <c r="O120" s="3"/>
      <c r="P120" s="27"/>
      <c r="Q120" s="3"/>
      <c r="R120" s="3"/>
      <c r="S120" s="3"/>
      <c r="T120" s="3"/>
      <c r="U120" s="3"/>
      <c r="V120" s="3"/>
      <c r="W120" s="3"/>
      <c r="X120" s="3"/>
      <c r="Y120" s="19"/>
      <c r="Z120" s="3"/>
      <c r="AA120" s="3"/>
      <c r="AB120" s="3"/>
      <c r="AC120" s="3"/>
      <c r="AD120" s="3"/>
      <c r="AE120" s="3"/>
      <c r="AF120" s="3"/>
    </row>
    <row r="121" spans="1:32" x14ac:dyDescent="0.25">
      <c r="A121" s="3"/>
      <c r="B121" s="3"/>
      <c r="C121" s="3"/>
      <c r="D121" s="16"/>
      <c r="E121" s="3"/>
      <c r="F121" s="3"/>
      <c r="G121" s="19"/>
      <c r="H121" s="3"/>
      <c r="I121" s="3"/>
      <c r="J121" s="3"/>
      <c r="K121" s="3"/>
      <c r="L121" s="3"/>
      <c r="M121" s="3"/>
      <c r="N121" s="3"/>
      <c r="O121" s="3"/>
      <c r="P121" s="27"/>
      <c r="Q121" s="3"/>
      <c r="R121" s="3"/>
      <c r="S121" s="3"/>
      <c r="T121" s="3"/>
      <c r="U121" s="3"/>
      <c r="V121" s="3"/>
      <c r="W121" s="3"/>
      <c r="X121" s="3"/>
      <c r="Y121" s="19"/>
      <c r="Z121" s="3"/>
      <c r="AA121" s="3"/>
      <c r="AB121" s="3"/>
      <c r="AC121" s="3"/>
      <c r="AD121" s="3"/>
      <c r="AE121" s="3"/>
      <c r="AF121" s="3"/>
    </row>
    <row r="122" spans="1:32" x14ac:dyDescent="0.25">
      <c r="A122" s="3"/>
      <c r="B122" s="3"/>
      <c r="C122" s="3"/>
      <c r="D122" s="16"/>
      <c r="E122" s="3"/>
      <c r="F122" s="3"/>
      <c r="G122" s="19"/>
      <c r="H122" s="3"/>
      <c r="I122" s="3"/>
      <c r="J122" s="3"/>
      <c r="K122" s="3"/>
      <c r="L122" s="3"/>
      <c r="M122" s="3"/>
      <c r="N122" s="3"/>
      <c r="O122" s="3"/>
      <c r="P122" s="27"/>
      <c r="Q122" s="3"/>
      <c r="R122" s="3"/>
      <c r="S122" s="3"/>
      <c r="T122" s="3"/>
      <c r="U122" s="3"/>
      <c r="V122" s="3"/>
      <c r="W122" s="3"/>
      <c r="X122" s="3"/>
      <c r="Y122" s="19"/>
      <c r="Z122" s="3"/>
      <c r="AA122" s="3"/>
      <c r="AB122" s="3"/>
      <c r="AC122" s="3"/>
      <c r="AD122" s="3"/>
      <c r="AE122" s="3"/>
      <c r="AF122" s="3"/>
    </row>
    <row r="123" spans="1:32" x14ac:dyDescent="0.25">
      <c r="A123" s="3"/>
      <c r="B123" s="3"/>
      <c r="C123" s="3"/>
      <c r="D123" s="16"/>
      <c r="E123" s="3"/>
      <c r="F123" s="3"/>
      <c r="G123" s="19"/>
      <c r="H123" s="3"/>
      <c r="I123" s="3"/>
      <c r="J123" s="3"/>
      <c r="K123" s="3"/>
      <c r="L123" s="3"/>
      <c r="M123" s="3"/>
      <c r="N123" s="3"/>
      <c r="O123" s="3"/>
      <c r="P123" s="27"/>
      <c r="Q123" s="3"/>
      <c r="R123" s="3"/>
      <c r="S123" s="3"/>
      <c r="T123" s="3"/>
      <c r="U123" s="3"/>
      <c r="V123" s="3"/>
      <c r="W123" s="3"/>
      <c r="X123" s="3"/>
      <c r="Y123" s="19"/>
      <c r="Z123" s="3"/>
      <c r="AA123" s="3"/>
      <c r="AB123" s="3"/>
      <c r="AC123" s="3"/>
      <c r="AD123" s="3"/>
      <c r="AE123" s="3"/>
      <c r="AF123" s="3"/>
    </row>
    <row r="124" spans="1:32" x14ac:dyDescent="0.25">
      <c r="A124" s="3"/>
      <c r="B124" s="3"/>
      <c r="C124" s="3"/>
      <c r="D124" s="16"/>
      <c r="E124" s="3"/>
      <c r="F124" s="3"/>
      <c r="G124" s="19"/>
      <c r="H124" s="3"/>
      <c r="I124" s="3"/>
      <c r="J124" s="3"/>
      <c r="K124" s="3"/>
      <c r="L124" s="3"/>
      <c r="M124" s="3"/>
      <c r="N124" s="3"/>
      <c r="O124" s="3"/>
      <c r="P124" s="27"/>
      <c r="Q124" s="3"/>
      <c r="R124" s="3"/>
      <c r="S124" s="3"/>
      <c r="T124" s="3"/>
      <c r="U124" s="3"/>
      <c r="V124" s="3"/>
      <c r="W124" s="3"/>
      <c r="X124" s="3"/>
      <c r="Y124" s="19"/>
      <c r="Z124" s="3"/>
      <c r="AA124" s="3"/>
      <c r="AB124" s="3"/>
      <c r="AC124" s="3"/>
      <c r="AD124" s="3"/>
      <c r="AE124" s="3"/>
      <c r="AF124" s="3"/>
    </row>
    <row r="125" spans="1:32" x14ac:dyDescent="0.25">
      <c r="A125" s="3"/>
      <c r="B125" s="3"/>
      <c r="C125" s="3"/>
      <c r="D125" s="16"/>
      <c r="E125" s="3"/>
      <c r="F125" s="3"/>
      <c r="G125" s="19"/>
      <c r="H125" s="3"/>
      <c r="I125" s="3"/>
      <c r="J125" s="3"/>
      <c r="K125" s="3"/>
      <c r="L125" s="3"/>
      <c r="M125" s="3"/>
      <c r="N125" s="3"/>
      <c r="O125" s="3"/>
      <c r="P125" s="27"/>
      <c r="Q125" s="3"/>
      <c r="R125" s="3"/>
      <c r="S125" s="3"/>
      <c r="T125" s="3"/>
      <c r="U125" s="3"/>
      <c r="V125" s="3"/>
      <c r="W125" s="3"/>
      <c r="X125" s="3"/>
      <c r="Y125" s="19"/>
      <c r="Z125" s="3"/>
      <c r="AA125" s="3"/>
      <c r="AB125" s="3"/>
      <c r="AC125" s="3"/>
      <c r="AD125" s="3"/>
      <c r="AE125" s="3"/>
      <c r="AF125" s="3"/>
    </row>
    <row r="126" spans="1:32" x14ac:dyDescent="0.25">
      <c r="A126" s="3"/>
      <c r="B126" s="3"/>
      <c r="C126" s="3"/>
      <c r="D126" s="16"/>
      <c r="E126" s="3"/>
      <c r="F126" s="3"/>
      <c r="G126" s="19"/>
      <c r="H126" s="3"/>
      <c r="I126" s="3"/>
      <c r="J126" s="3"/>
      <c r="K126" s="3"/>
      <c r="L126" s="3"/>
      <c r="M126" s="3"/>
      <c r="N126" s="3"/>
      <c r="O126" s="3"/>
      <c r="P126" s="27"/>
      <c r="Q126" s="3"/>
      <c r="R126" s="3"/>
      <c r="S126" s="3"/>
      <c r="T126" s="3"/>
      <c r="U126" s="3"/>
      <c r="V126" s="3"/>
      <c r="W126" s="3"/>
      <c r="X126" s="3"/>
      <c r="Y126" s="19"/>
      <c r="Z126" s="3"/>
      <c r="AA126" s="3"/>
      <c r="AB126" s="3"/>
      <c r="AC126" s="3"/>
      <c r="AD126" s="3"/>
      <c r="AE126" s="3"/>
      <c r="AF126" s="3"/>
    </row>
    <row r="127" spans="1:32" x14ac:dyDescent="0.25">
      <c r="A127" s="3"/>
      <c r="B127" s="3"/>
      <c r="C127" s="3"/>
      <c r="D127" s="16"/>
      <c r="E127" s="3"/>
      <c r="F127" s="3"/>
      <c r="G127" s="19"/>
      <c r="H127" s="3"/>
      <c r="I127" s="3"/>
      <c r="J127" s="3"/>
      <c r="K127" s="3"/>
      <c r="L127" s="3"/>
      <c r="M127" s="3"/>
      <c r="N127" s="3"/>
      <c r="O127" s="3"/>
      <c r="P127" s="27"/>
      <c r="Q127" s="3"/>
      <c r="R127" s="3"/>
      <c r="S127" s="3"/>
      <c r="T127" s="3"/>
      <c r="U127" s="3"/>
      <c r="V127" s="3"/>
      <c r="W127" s="3"/>
      <c r="X127" s="3"/>
      <c r="Y127" s="19"/>
      <c r="Z127" s="3"/>
      <c r="AA127" s="3"/>
      <c r="AB127" s="3"/>
      <c r="AC127" s="3"/>
      <c r="AD127" s="3"/>
      <c r="AE127" s="3"/>
      <c r="AF127" s="3"/>
    </row>
    <row r="128" spans="1:32" x14ac:dyDescent="0.25">
      <c r="A128" s="3"/>
      <c r="B128" s="3"/>
      <c r="C128" s="3"/>
      <c r="D128" s="16"/>
      <c r="E128" s="3"/>
      <c r="F128" s="3"/>
      <c r="G128" s="19"/>
      <c r="H128" s="3"/>
      <c r="I128" s="3"/>
      <c r="J128" s="3"/>
      <c r="K128" s="3"/>
      <c r="L128" s="3"/>
      <c r="M128" s="3"/>
      <c r="N128" s="3"/>
      <c r="O128" s="3"/>
      <c r="P128" s="27"/>
      <c r="Q128" s="3"/>
      <c r="R128" s="3"/>
      <c r="S128" s="3"/>
      <c r="T128" s="3"/>
      <c r="U128" s="3"/>
      <c r="V128" s="3"/>
      <c r="W128" s="3"/>
      <c r="X128" s="3"/>
      <c r="Y128" s="19"/>
      <c r="Z128" s="3"/>
      <c r="AA128" s="3"/>
      <c r="AB128" s="3"/>
      <c r="AC128" s="3"/>
      <c r="AD128" s="3"/>
      <c r="AE128" s="3"/>
      <c r="AF128" s="3"/>
    </row>
    <row r="129" spans="1:32" x14ac:dyDescent="0.25">
      <c r="A129" s="3"/>
      <c r="B129" s="3"/>
      <c r="C129" s="3"/>
      <c r="D129" s="16"/>
      <c r="E129" s="3"/>
      <c r="F129" s="3"/>
      <c r="G129" s="19"/>
      <c r="H129" s="3"/>
      <c r="I129" s="3"/>
      <c r="J129" s="3"/>
      <c r="K129" s="3"/>
      <c r="L129" s="3"/>
      <c r="M129" s="3"/>
      <c r="N129" s="3"/>
      <c r="O129" s="3"/>
      <c r="P129" s="27"/>
      <c r="Q129" s="3"/>
      <c r="R129" s="3"/>
      <c r="S129" s="3"/>
      <c r="T129" s="3"/>
      <c r="U129" s="3"/>
      <c r="V129" s="3"/>
      <c r="W129" s="3"/>
      <c r="X129" s="3"/>
      <c r="Y129" s="19"/>
      <c r="Z129" s="3"/>
      <c r="AA129" s="3"/>
      <c r="AB129" s="3"/>
      <c r="AC129" s="3"/>
      <c r="AD129" s="3"/>
      <c r="AE129" s="3"/>
      <c r="AF129" s="3"/>
    </row>
    <row r="130" spans="1:32" x14ac:dyDescent="0.25">
      <c r="A130" s="3"/>
      <c r="B130" s="3"/>
      <c r="C130" s="3"/>
      <c r="D130" s="16"/>
      <c r="E130" s="3"/>
      <c r="F130" s="3"/>
      <c r="G130" s="19"/>
      <c r="H130" s="3"/>
      <c r="I130" s="3"/>
      <c r="J130" s="3"/>
      <c r="K130" s="3"/>
      <c r="L130" s="3"/>
      <c r="M130" s="3"/>
      <c r="N130" s="3"/>
      <c r="O130" s="3"/>
      <c r="P130" s="27"/>
      <c r="Q130" s="3"/>
      <c r="R130" s="3"/>
      <c r="S130" s="3"/>
      <c r="T130" s="3"/>
      <c r="U130" s="3"/>
      <c r="V130" s="3"/>
      <c r="W130" s="3"/>
      <c r="X130" s="3"/>
      <c r="Y130" s="19"/>
      <c r="Z130" s="3"/>
      <c r="AA130" s="3"/>
      <c r="AB130" s="3"/>
      <c r="AC130" s="3"/>
      <c r="AD130" s="3"/>
      <c r="AE130" s="3"/>
      <c r="AF130" s="3"/>
    </row>
    <row r="131" spans="1:32" x14ac:dyDescent="0.25">
      <c r="A131" s="3"/>
      <c r="B131" s="3"/>
      <c r="C131" s="3"/>
      <c r="D131" s="16"/>
      <c r="E131" s="3"/>
      <c r="F131" s="3"/>
      <c r="G131" s="19"/>
      <c r="H131" s="3"/>
      <c r="I131" s="3"/>
      <c r="J131" s="3"/>
      <c r="K131" s="3"/>
      <c r="L131" s="3"/>
      <c r="M131" s="3"/>
      <c r="N131" s="3"/>
      <c r="O131" s="3"/>
      <c r="P131" s="27"/>
      <c r="Q131" s="3"/>
      <c r="R131" s="3"/>
      <c r="S131" s="3"/>
      <c r="T131" s="3"/>
      <c r="U131" s="3"/>
      <c r="V131" s="3"/>
      <c r="W131" s="3"/>
      <c r="X131" s="3"/>
      <c r="Y131" s="19"/>
      <c r="Z131" s="3"/>
      <c r="AA131" s="3"/>
      <c r="AB131" s="3"/>
      <c r="AC131" s="3"/>
      <c r="AD131" s="3"/>
      <c r="AE131" s="3"/>
      <c r="AF131" s="3"/>
    </row>
    <row r="132" spans="1:32" x14ac:dyDescent="0.25">
      <c r="A132" s="3"/>
      <c r="B132" s="3"/>
      <c r="C132" s="3"/>
      <c r="D132" s="16"/>
      <c r="E132" s="3"/>
      <c r="F132" s="3"/>
      <c r="G132" s="19"/>
      <c r="H132" s="3"/>
      <c r="I132" s="3"/>
      <c r="J132" s="3"/>
      <c r="K132" s="3"/>
      <c r="L132" s="3"/>
      <c r="M132" s="3"/>
      <c r="N132" s="3"/>
      <c r="O132" s="3"/>
      <c r="P132" s="27"/>
      <c r="Q132" s="3"/>
      <c r="R132" s="3"/>
      <c r="S132" s="3"/>
      <c r="T132" s="3"/>
      <c r="U132" s="3"/>
      <c r="V132" s="3"/>
      <c r="W132" s="3"/>
      <c r="X132" s="3"/>
      <c r="Y132" s="19"/>
      <c r="Z132" s="3"/>
      <c r="AA132" s="3"/>
      <c r="AB132" s="3"/>
      <c r="AC132" s="3"/>
      <c r="AD132" s="3"/>
      <c r="AE132" s="3"/>
      <c r="AF132" s="3"/>
    </row>
    <row r="133" spans="1:32" x14ac:dyDescent="0.25">
      <c r="A133" s="3"/>
      <c r="B133" s="3"/>
      <c r="C133" s="3"/>
      <c r="D133" s="16"/>
      <c r="E133" s="3"/>
      <c r="F133" s="3"/>
      <c r="G133" s="19"/>
      <c r="H133" s="3"/>
      <c r="I133" s="3"/>
      <c r="J133" s="3"/>
      <c r="K133" s="3"/>
      <c r="L133" s="3"/>
      <c r="M133" s="3"/>
      <c r="N133" s="3"/>
      <c r="O133" s="3"/>
      <c r="P133" s="27"/>
      <c r="Q133" s="3"/>
      <c r="R133" s="3"/>
      <c r="S133" s="3"/>
      <c r="T133" s="3"/>
      <c r="U133" s="3"/>
      <c r="V133" s="3"/>
      <c r="W133" s="3"/>
      <c r="X133" s="3"/>
      <c r="Y133" s="19"/>
      <c r="Z133" s="3"/>
      <c r="AA133" s="3"/>
      <c r="AB133" s="3"/>
      <c r="AC133" s="3"/>
      <c r="AD133" s="3"/>
      <c r="AE133" s="3"/>
      <c r="AF133" s="3"/>
    </row>
    <row r="134" spans="1:32" x14ac:dyDescent="0.25">
      <c r="A134" s="3"/>
      <c r="B134" s="3"/>
      <c r="C134" s="3"/>
      <c r="D134" s="16"/>
      <c r="E134" s="3"/>
      <c r="F134" s="3"/>
      <c r="G134" s="19"/>
      <c r="H134" s="3"/>
      <c r="I134" s="3"/>
      <c r="J134" s="3"/>
      <c r="K134" s="3"/>
      <c r="L134" s="3"/>
      <c r="M134" s="3"/>
      <c r="N134" s="3"/>
      <c r="O134" s="3"/>
      <c r="P134" s="27"/>
      <c r="Q134" s="3"/>
      <c r="R134" s="3"/>
      <c r="S134" s="3"/>
      <c r="T134" s="3"/>
      <c r="U134" s="3"/>
      <c r="V134" s="3"/>
      <c r="W134" s="3"/>
      <c r="X134" s="3"/>
      <c r="Y134" s="19"/>
      <c r="Z134" s="3"/>
      <c r="AA134" s="3"/>
      <c r="AB134" s="3"/>
      <c r="AC134" s="3"/>
      <c r="AD134" s="3"/>
      <c r="AE134" s="3"/>
      <c r="AF134" s="3"/>
    </row>
    <row r="135" spans="1:32" x14ac:dyDescent="0.25">
      <c r="A135" s="3"/>
      <c r="B135" s="3"/>
      <c r="C135" s="3"/>
      <c r="D135" s="16"/>
      <c r="E135" s="3"/>
      <c r="F135" s="3"/>
      <c r="G135" s="19"/>
      <c r="H135" s="3"/>
      <c r="I135" s="3"/>
      <c r="J135" s="3"/>
      <c r="K135" s="3"/>
      <c r="L135" s="3"/>
      <c r="M135" s="3"/>
      <c r="N135" s="3"/>
      <c r="O135" s="3"/>
      <c r="P135" s="27"/>
      <c r="Q135" s="3"/>
      <c r="R135" s="3"/>
      <c r="S135" s="3"/>
      <c r="T135" s="3"/>
      <c r="U135" s="3"/>
      <c r="V135" s="3"/>
      <c r="W135" s="3"/>
      <c r="X135" s="3"/>
      <c r="Y135" s="19"/>
      <c r="Z135" s="3"/>
      <c r="AA135" s="3"/>
      <c r="AB135" s="3"/>
      <c r="AC135" s="3"/>
      <c r="AD135" s="3"/>
      <c r="AE135" s="3"/>
      <c r="AF135" s="3"/>
    </row>
    <row r="136" spans="1:32" x14ac:dyDescent="0.25">
      <c r="A136" s="3"/>
      <c r="B136" s="3"/>
      <c r="C136" s="3"/>
      <c r="D136" s="16"/>
      <c r="E136" s="3"/>
      <c r="F136" s="3"/>
      <c r="G136" s="19"/>
      <c r="H136" s="3"/>
      <c r="I136" s="3"/>
      <c r="J136" s="3"/>
      <c r="K136" s="3"/>
      <c r="L136" s="3"/>
      <c r="M136" s="3"/>
      <c r="N136" s="3"/>
      <c r="O136" s="3"/>
      <c r="P136" s="27"/>
      <c r="Q136" s="3"/>
      <c r="R136" s="3"/>
      <c r="S136" s="3"/>
      <c r="T136" s="3"/>
      <c r="U136" s="3"/>
      <c r="V136" s="3"/>
      <c r="W136" s="3"/>
      <c r="X136" s="3"/>
      <c r="Y136" s="19"/>
      <c r="Z136" s="3"/>
      <c r="AA136" s="3"/>
      <c r="AB136" s="3"/>
      <c r="AC136" s="3"/>
      <c r="AD136" s="3"/>
      <c r="AE136" s="3"/>
      <c r="AF136" s="3"/>
    </row>
    <row r="137" spans="1:32" x14ac:dyDescent="0.25">
      <c r="A137" s="3"/>
      <c r="B137" s="3"/>
      <c r="C137" s="3"/>
      <c r="D137" s="16"/>
      <c r="E137" s="3"/>
      <c r="F137" s="3"/>
      <c r="G137" s="19"/>
      <c r="H137" s="3"/>
      <c r="I137" s="3"/>
      <c r="J137" s="3"/>
      <c r="K137" s="3"/>
      <c r="L137" s="3"/>
      <c r="M137" s="3"/>
      <c r="N137" s="3"/>
      <c r="O137" s="3"/>
      <c r="P137" s="27"/>
      <c r="Q137" s="3"/>
      <c r="R137" s="3"/>
      <c r="S137" s="3"/>
      <c r="T137" s="3"/>
      <c r="U137" s="3"/>
      <c r="V137" s="3"/>
      <c r="W137" s="3"/>
      <c r="X137" s="3"/>
      <c r="Y137" s="19"/>
      <c r="Z137" s="3"/>
      <c r="AA137" s="3"/>
      <c r="AB137" s="3"/>
      <c r="AC137" s="3"/>
      <c r="AD137" s="3"/>
      <c r="AE137" s="3"/>
      <c r="AF137" s="3"/>
    </row>
    <row r="138" spans="1:32" x14ac:dyDescent="0.25">
      <c r="A138" s="3"/>
      <c r="B138" s="3"/>
      <c r="C138" s="3"/>
      <c r="D138" s="16"/>
      <c r="E138" s="3"/>
      <c r="F138" s="3"/>
      <c r="G138" s="19"/>
      <c r="H138" s="3"/>
      <c r="I138" s="3"/>
      <c r="J138" s="3"/>
      <c r="K138" s="3"/>
      <c r="L138" s="3"/>
      <c r="M138" s="3"/>
      <c r="N138" s="3"/>
      <c r="O138" s="3"/>
      <c r="P138" s="27"/>
      <c r="Q138" s="3"/>
      <c r="R138" s="3"/>
      <c r="S138" s="3"/>
      <c r="T138" s="3"/>
      <c r="U138" s="3"/>
      <c r="V138" s="3"/>
      <c r="W138" s="3"/>
      <c r="X138" s="3"/>
      <c r="Y138" s="19"/>
      <c r="Z138" s="3"/>
      <c r="AA138" s="3"/>
      <c r="AB138" s="3"/>
      <c r="AC138" s="3"/>
      <c r="AD138" s="3"/>
      <c r="AE138" s="3"/>
      <c r="AF138" s="3"/>
    </row>
    <row r="139" spans="1:32" x14ac:dyDescent="0.25">
      <c r="A139" s="3"/>
      <c r="B139" s="3"/>
      <c r="C139" s="3"/>
      <c r="D139" s="16"/>
      <c r="E139" s="3"/>
      <c r="F139" s="3"/>
      <c r="G139" s="19"/>
      <c r="H139" s="3"/>
      <c r="I139" s="3"/>
      <c r="J139" s="3"/>
      <c r="K139" s="3"/>
      <c r="L139" s="3"/>
      <c r="M139" s="3"/>
      <c r="N139" s="3"/>
      <c r="O139" s="3"/>
      <c r="P139" s="27"/>
      <c r="Q139" s="3"/>
      <c r="R139" s="3"/>
      <c r="S139" s="3"/>
      <c r="T139" s="3"/>
      <c r="U139" s="3"/>
      <c r="V139" s="3"/>
      <c r="W139" s="3"/>
      <c r="X139" s="3"/>
      <c r="Y139" s="19"/>
      <c r="Z139" s="3"/>
      <c r="AA139" s="3"/>
      <c r="AB139" s="3"/>
      <c r="AC139" s="3"/>
      <c r="AD139" s="3"/>
      <c r="AE139" s="3"/>
      <c r="AF139" s="3"/>
    </row>
    <row r="140" spans="1:32" x14ac:dyDescent="0.25">
      <c r="A140" s="3"/>
      <c r="B140" s="3"/>
      <c r="C140" s="3"/>
      <c r="D140" s="16"/>
      <c r="E140" s="3"/>
      <c r="F140" s="3"/>
      <c r="G140" s="19"/>
      <c r="H140" s="3"/>
      <c r="I140" s="3"/>
      <c r="J140" s="3"/>
      <c r="K140" s="3"/>
      <c r="L140" s="3"/>
      <c r="M140" s="3"/>
      <c r="N140" s="3"/>
      <c r="O140" s="3"/>
      <c r="P140" s="27"/>
      <c r="Q140" s="3"/>
      <c r="R140" s="3"/>
      <c r="S140" s="3"/>
      <c r="T140" s="3"/>
      <c r="U140" s="3"/>
      <c r="V140" s="3"/>
      <c r="W140" s="3"/>
      <c r="X140" s="3"/>
      <c r="Y140" s="19"/>
      <c r="Z140" s="3"/>
      <c r="AA140" s="3"/>
      <c r="AB140" s="3"/>
      <c r="AC140" s="3"/>
      <c r="AD140" s="3"/>
      <c r="AE140" s="3"/>
      <c r="AF140" s="3"/>
    </row>
    <row r="141" spans="1:32" x14ac:dyDescent="0.25">
      <c r="A141" s="3"/>
      <c r="B141" s="3"/>
      <c r="C141" s="3"/>
      <c r="D141" s="16"/>
      <c r="E141" s="3"/>
      <c r="F141" s="3"/>
      <c r="G141" s="19"/>
      <c r="H141" s="3"/>
      <c r="I141" s="3"/>
      <c r="J141" s="3"/>
      <c r="K141" s="3"/>
      <c r="L141" s="3"/>
      <c r="M141" s="3"/>
      <c r="N141" s="3"/>
      <c r="O141" s="3"/>
      <c r="P141" s="27"/>
      <c r="Q141" s="3"/>
      <c r="R141" s="3"/>
      <c r="S141" s="3"/>
      <c r="T141" s="3"/>
      <c r="U141" s="3"/>
      <c r="V141" s="3"/>
      <c r="W141" s="3"/>
      <c r="X141" s="3"/>
      <c r="Y141" s="19"/>
      <c r="Z141" s="3"/>
      <c r="AA141" s="3"/>
      <c r="AB141" s="3"/>
      <c r="AC141" s="3"/>
      <c r="AD141" s="3"/>
      <c r="AE141" s="3"/>
      <c r="AF141" s="3"/>
    </row>
    <row r="142" spans="1:32" x14ac:dyDescent="0.25">
      <c r="A142" s="3"/>
      <c r="B142" s="3"/>
      <c r="C142" s="3"/>
      <c r="D142" s="16"/>
      <c r="E142" s="3"/>
      <c r="F142" s="3"/>
      <c r="G142" s="19"/>
      <c r="H142" s="3"/>
      <c r="I142" s="3"/>
      <c r="J142" s="3"/>
      <c r="K142" s="3"/>
      <c r="L142" s="3"/>
      <c r="M142" s="3"/>
      <c r="N142" s="3"/>
      <c r="O142" s="3"/>
      <c r="P142" s="27"/>
      <c r="Q142" s="3"/>
      <c r="R142" s="3"/>
      <c r="S142" s="3"/>
      <c r="T142" s="3"/>
      <c r="U142" s="3"/>
      <c r="V142" s="3"/>
      <c r="W142" s="3"/>
      <c r="X142" s="3"/>
      <c r="Y142" s="19"/>
      <c r="Z142" s="3"/>
      <c r="AA142" s="3"/>
      <c r="AB142" s="3"/>
      <c r="AC142" s="3"/>
      <c r="AD142" s="3"/>
      <c r="AE142" s="3"/>
      <c r="AF142" s="3"/>
    </row>
    <row r="143" spans="1:32" x14ac:dyDescent="0.25">
      <c r="A143" s="3"/>
      <c r="B143" s="3"/>
      <c r="C143" s="3"/>
      <c r="D143" s="16"/>
      <c r="E143" s="3"/>
      <c r="F143" s="3"/>
      <c r="G143" s="19"/>
      <c r="H143" s="3"/>
      <c r="I143" s="3"/>
      <c r="J143" s="3"/>
      <c r="K143" s="3"/>
      <c r="L143" s="3"/>
      <c r="M143" s="3"/>
      <c r="N143" s="3"/>
      <c r="O143" s="3"/>
      <c r="P143" s="27"/>
      <c r="Q143" s="3"/>
      <c r="R143" s="3"/>
      <c r="S143" s="3"/>
      <c r="T143" s="3"/>
      <c r="U143" s="3"/>
      <c r="V143" s="3"/>
      <c r="W143" s="3"/>
      <c r="X143" s="3"/>
      <c r="Y143" s="19"/>
      <c r="Z143" s="3"/>
      <c r="AA143" s="3"/>
      <c r="AB143" s="3"/>
      <c r="AC143" s="3"/>
      <c r="AD143" s="3"/>
      <c r="AE143" s="3"/>
      <c r="AF143" s="3"/>
    </row>
    <row r="144" spans="1:32" x14ac:dyDescent="0.25">
      <c r="A144" s="3"/>
      <c r="B144" s="3"/>
      <c r="C144" s="3"/>
      <c r="D144" s="16"/>
      <c r="E144" s="3"/>
      <c r="F144" s="3"/>
      <c r="G144" s="19"/>
      <c r="H144" s="3"/>
      <c r="I144" s="3"/>
      <c r="J144" s="3"/>
      <c r="K144" s="3"/>
      <c r="L144" s="3"/>
      <c r="M144" s="3"/>
      <c r="N144" s="3"/>
      <c r="O144" s="3"/>
      <c r="P144" s="27"/>
      <c r="Q144" s="3"/>
      <c r="R144" s="3"/>
      <c r="S144" s="3"/>
      <c r="T144" s="3"/>
      <c r="U144" s="3"/>
      <c r="V144" s="3"/>
      <c r="W144" s="3"/>
      <c r="X144" s="3"/>
      <c r="Y144" s="19"/>
      <c r="Z144" s="3"/>
      <c r="AA144" s="3"/>
      <c r="AB144" s="3"/>
      <c r="AC144" s="3"/>
      <c r="AD144" s="3"/>
      <c r="AE144" s="3"/>
      <c r="AF144" s="3"/>
    </row>
    <row r="145" spans="1:32" x14ac:dyDescent="0.25">
      <c r="A145" s="3"/>
      <c r="B145" s="3"/>
      <c r="C145" s="3"/>
      <c r="D145" s="16"/>
      <c r="E145" s="3"/>
      <c r="F145" s="3"/>
      <c r="G145" s="19"/>
      <c r="H145" s="3"/>
      <c r="I145" s="3"/>
      <c r="J145" s="3"/>
      <c r="K145" s="3"/>
      <c r="L145" s="3"/>
      <c r="M145" s="3"/>
      <c r="N145" s="3"/>
      <c r="O145" s="3"/>
      <c r="P145" s="27"/>
      <c r="Q145" s="3"/>
      <c r="R145" s="3"/>
      <c r="S145" s="3"/>
      <c r="T145" s="3"/>
      <c r="U145" s="3"/>
      <c r="V145" s="3"/>
      <c r="W145" s="3"/>
      <c r="X145" s="3"/>
      <c r="Y145" s="19"/>
      <c r="Z145" s="3"/>
      <c r="AA145" s="3"/>
      <c r="AB145" s="3"/>
      <c r="AC145" s="3"/>
      <c r="AD145" s="3"/>
      <c r="AE145" s="3"/>
      <c r="AF145" s="3"/>
    </row>
    <row r="146" spans="1:32" x14ac:dyDescent="0.25">
      <c r="A146" s="3"/>
      <c r="B146" s="3"/>
      <c r="C146" s="3"/>
      <c r="D146" s="16"/>
      <c r="E146" s="3"/>
      <c r="F146" s="3"/>
      <c r="G146" s="19"/>
      <c r="H146" s="3"/>
      <c r="I146" s="3"/>
      <c r="J146" s="3"/>
      <c r="K146" s="3"/>
      <c r="L146" s="3"/>
      <c r="M146" s="3"/>
      <c r="N146" s="3"/>
      <c r="O146" s="3"/>
      <c r="P146" s="27"/>
      <c r="Q146" s="3"/>
      <c r="R146" s="3"/>
      <c r="S146" s="3"/>
      <c r="T146" s="3"/>
      <c r="U146" s="3"/>
      <c r="V146" s="3"/>
      <c r="W146" s="3"/>
      <c r="X146" s="3"/>
      <c r="Y146" s="19"/>
      <c r="Z146" s="3"/>
      <c r="AA146" s="3"/>
      <c r="AB146" s="3"/>
      <c r="AC146" s="3"/>
      <c r="AD146" s="3"/>
      <c r="AE146" s="3"/>
      <c r="AF146" s="3"/>
    </row>
    <row r="147" spans="1:32" x14ac:dyDescent="0.25">
      <c r="A147" s="3"/>
      <c r="B147" s="3"/>
      <c r="C147" s="3"/>
      <c r="D147" s="16"/>
      <c r="E147" s="3"/>
      <c r="F147" s="3"/>
      <c r="G147" s="19"/>
      <c r="H147" s="3"/>
      <c r="I147" s="3"/>
      <c r="J147" s="3"/>
      <c r="K147" s="3"/>
      <c r="L147" s="3"/>
      <c r="M147" s="3"/>
      <c r="N147" s="3"/>
      <c r="O147" s="3"/>
      <c r="P147" s="27"/>
      <c r="Q147" s="3"/>
      <c r="R147" s="3"/>
      <c r="S147" s="3"/>
      <c r="T147" s="3"/>
      <c r="U147" s="3"/>
      <c r="V147" s="3"/>
      <c r="W147" s="3"/>
      <c r="X147" s="3"/>
      <c r="Y147" s="19"/>
      <c r="Z147" s="3"/>
      <c r="AA147" s="3"/>
      <c r="AB147" s="3"/>
      <c r="AC147" s="3"/>
      <c r="AD147" s="3"/>
      <c r="AE147" s="3"/>
      <c r="AF147" s="3"/>
    </row>
    <row r="148" spans="1:32" x14ac:dyDescent="0.25">
      <c r="A148" s="3"/>
      <c r="B148" s="3"/>
      <c r="C148" s="3"/>
      <c r="D148" s="16"/>
      <c r="E148" s="3"/>
      <c r="F148" s="3"/>
      <c r="G148" s="19"/>
      <c r="H148" s="3"/>
      <c r="I148" s="3"/>
      <c r="J148" s="3"/>
      <c r="K148" s="3"/>
      <c r="L148" s="3"/>
      <c r="M148" s="3"/>
      <c r="N148" s="3"/>
      <c r="O148" s="3"/>
      <c r="P148" s="27"/>
      <c r="Q148" s="3"/>
      <c r="R148" s="3"/>
      <c r="S148" s="3"/>
      <c r="T148" s="3"/>
      <c r="U148" s="3"/>
      <c r="V148" s="3"/>
      <c r="W148" s="3"/>
      <c r="X148" s="3"/>
      <c r="Y148" s="19"/>
      <c r="Z148" s="3"/>
      <c r="AA148" s="3"/>
      <c r="AB148" s="3"/>
      <c r="AC148" s="3"/>
      <c r="AD148" s="3"/>
      <c r="AE148" s="3"/>
      <c r="AF148" s="3"/>
    </row>
    <row r="149" spans="1:32" x14ac:dyDescent="0.25">
      <c r="A149" s="3"/>
      <c r="B149" s="3"/>
      <c r="C149" s="3"/>
      <c r="D149" s="16"/>
      <c r="E149" s="3"/>
      <c r="F149" s="3"/>
      <c r="G149" s="19"/>
      <c r="H149" s="3"/>
      <c r="I149" s="3"/>
      <c r="J149" s="3"/>
      <c r="K149" s="3"/>
      <c r="L149" s="3"/>
      <c r="M149" s="3"/>
      <c r="N149" s="3"/>
      <c r="O149" s="3"/>
      <c r="P149" s="27"/>
      <c r="Q149" s="3"/>
      <c r="R149" s="3"/>
      <c r="S149" s="3"/>
      <c r="T149" s="3"/>
      <c r="U149" s="3"/>
      <c r="V149" s="3"/>
      <c r="W149" s="3"/>
      <c r="X149" s="3"/>
      <c r="Y149" s="19"/>
      <c r="Z149" s="3"/>
      <c r="AA149" s="3"/>
      <c r="AB149" s="3"/>
      <c r="AC149" s="3"/>
      <c r="AD149" s="3"/>
      <c r="AE149" s="3"/>
      <c r="AF149" s="3"/>
    </row>
    <row r="150" spans="1:32" x14ac:dyDescent="0.25">
      <c r="A150" s="3"/>
      <c r="B150" s="3"/>
      <c r="C150" s="3"/>
      <c r="D150" s="16"/>
      <c r="E150" s="3"/>
      <c r="F150" s="3"/>
      <c r="G150" s="19"/>
      <c r="H150" s="3"/>
      <c r="I150" s="3"/>
      <c r="J150" s="3"/>
      <c r="K150" s="3"/>
      <c r="L150" s="3"/>
      <c r="M150" s="3"/>
      <c r="N150" s="3"/>
      <c r="O150" s="3"/>
      <c r="P150" s="27"/>
      <c r="Q150" s="3"/>
      <c r="R150" s="3"/>
      <c r="S150" s="3"/>
      <c r="T150" s="3"/>
      <c r="U150" s="3"/>
      <c r="V150" s="3"/>
      <c r="W150" s="3"/>
      <c r="X150" s="3"/>
      <c r="Y150" s="19"/>
      <c r="Z150" s="3"/>
      <c r="AA150" s="3"/>
      <c r="AB150" s="3"/>
      <c r="AC150" s="3"/>
      <c r="AD150" s="3"/>
      <c r="AE150" s="3"/>
      <c r="AF150" s="3"/>
    </row>
    <row r="151" spans="1:32" x14ac:dyDescent="0.25">
      <c r="A151" s="3"/>
      <c r="B151" s="3"/>
      <c r="C151" s="3"/>
      <c r="D151" s="16"/>
      <c r="E151" s="3"/>
      <c r="F151" s="3"/>
      <c r="G151" s="19"/>
      <c r="H151" s="3"/>
      <c r="I151" s="3"/>
      <c r="J151" s="3"/>
      <c r="K151" s="3"/>
      <c r="L151" s="3"/>
      <c r="M151" s="3"/>
      <c r="N151" s="3"/>
      <c r="O151" s="3"/>
      <c r="P151" s="27"/>
      <c r="Q151" s="3"/>
      <c r="R151" s="3"/>
      <c r="S151" s="3"/>
      <c r="T151" s="3"/>
      <c r="U151" s="3"/>
      <c r="V151" s="3"/>
      <c r="W151" s="3"/>
      <c r="X151" s="3"/>
      <c r="Y151" s="19"/>
      <c r="Z151" s="3"/>
      <c r="AA151" s="3"/>
      <c r="AB151" s="3"/>
      <c r="AC151" s="3"/>
      <c r="AD151" s="3"/>
      <c r="AE151" s="3"/>
      <c r="AF151" s="3"/>
    </row>
    <row r="152" spans="1:32" x14ac:dyDescent="0.25">
      <c r="A152" s="3"/>
      <c r="B152" s="3"/>
      <c r="C152" s="3"/>
      <c r="D152" s="16"/>
      <c r="E152" s="3"/>
      <c r="F152" s="3"/>
      <c r="G152" s="19"/>
      <c r="H152" s="3"/>
      <c r="I152" s="3"/>
      <c r="J152" s="3"/>
      <c r="K152" s="3"/>
      <c r="L152" s="3"/>
      <c r="M152" s="3"/>
      <c r="N152" s="3"/>
      <c r="O152" s="3"/>
      <c r="P152" s="27"/>
      <c r="Q152" s="3"/>
      <c r="R152" s="3"/>
      <c r="S152" s="3"/>
      <c r="T152" s="3"/>
      <c r="U152" s="3"/>
      <c r="V152" s="3"/>
      <c r="W152" s="3"/>
      <c r="X152" s="3"/>
      <c r="Y152" s="19"/>
      <c r="Z152" s="3"/>
      <c r="AA152" s="3"/>
      <c r="AB152" s="3"/>
      <c r="AC152" s="3"/>
      <c r="AD152" s="3"/>
      <c r="AE152" s="3"/>
      <c r="AF152" s="3"/>
    </row>
  </sheetData>
  <mergeCells count="67">
    <mergeCell ref="B45:C45"/>
    <mergeCell ref="T11:T12"/>
    <mergeCell ref="U11:U12"/>
    <mergeCell ref="O11:O12"/>
    <mergeCell ref="P11:P12"/>
    <mergeCell ref="Q11:Q12"/>
    <mergeCell ref="R11:R12"/>
    <mergeCell ref="S11:S12"/>
    <mergeCell ref="B42:C42"/>
    <mergeCell ref="B41:C41"/>
    <mergeCell ref="I11:I12"/>
    <mergeCell ref="B46:C46"/>
    <mergeCell ref="D48:J48"/>
    <mergeCell ref="AA47:AG47"/>
    <mergeCell ref="AA48:AG48"/>
    <mergeCell ref="P48:T48"/>
    <mergeCell ref="N51:Q51"/>
    <mergeCell ref="V51:Y51"/>
    <mergeCell ref="D52:J52"/>
    <mergeCell ref="AC11:AC12"/>
    <mergeCell ref="X11:X12"/>
    <mergeCell ref="Y11:Y12"/>
    <mergeCell ref="Z11:Z12"/>
    <mergeCell ref="AA11:AA12"/>
    <mergeCell ref="AB11:AB12"/>
    <mergeCell ref="AA52:AG52"/>
    <mergeCell ref="P52:T52"/>
    <mergeCell ref="D11:D12"/>
    <mergeCell ref="E11:E12"/>
    <mergeCell ref="F11:F12"/>
    <mergeCell ref="AD11:AD12"/>
    <mergeCell ref="AE11:AE12"/>
    <mergeCell ref="AE8:AJ8"/>
    <mergeCell ref="AH11:AH12"/>
    <mergeCell ref="AH10:AJ10"/>
    <mergeCell ref="J9:AJ9"/>
    <mergeCell ref="AI11:AI12"/>
    <mergeCell ref="AJ11:AJ12"/>
    <mergeCell ref="J11:J12"/>
    <mergeCell ref="K11:K12"/>
    <mergeCell ref="Y10:AA10"/>
    <mergeCell ref="AB10:AD10"/>
    <mergeCell ref="AE10:AG10"/>
    <mergeCell ref="AF11:AF12"/>
    <mergeCell ref="AG11:AG12"/>
    <mergeCell ref="J10:L10"/>
    <mergeCell ref="A1:L1"/>
    <mergeCell ref="A2:L2"/>
    <mergeCell ref="B6:AG6"/>
    <mergeCell ref="W1:AJ1"/>
    <mergeCell ref="W2:AJ2"/>
    <mergeCell ref="G9:I10"/>
    <mergeCell ref="L11:L12"/>
    <mergeCell ref="M11:M12"/>
    <mergeCell ref="B7:AG7"/>
    <mergeCell ref="B9:B12"/>
    <mergeCell ref="C9:C12"/>
    <mergeCell ref="D9:F10"/>
    <mergeCell ref="M10:O10"/>
    <mergeCell ref="V11:V12"/>
    <mergeCell ref="W11:W12"/>
    <mergeCell ref="N11:N12"/>
    <mergeCell ref="V10:X10"/>
    <mergeCell ref="P10:R10"/>
    <mergeCell ref="S10:U10"/>
    <mergeCell ref="G11:G12"/>
    <mergeCell ref="H11:H12"/>
  </mergeCells>
  <pageMargins left="0.45" right="0.2" top="0.34" bottom="0.32" header="0.3" footer="0.3"/>
  <pageSetup paperSize="8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Thue Viet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2019-03-31T02:18:59Z</cp:lastPrinted>
  <dcterms:created xsi:type="dcterms:W3CDTF">2017-11-08T06:53:31Z</dcterms:created>
  <dcterms:modified xsi:type="dcterms:W3CDTF">2019-03-31T03:03:16Z</dcterms:modified>
</cp:coreProperties>
</file>