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D:\Tổng kiểm kê\Kiểm kê TS tạm giao\Thuê nhà, đất\Hồ sơ thuê đất Đức Thọ\"/>
    </mc:Choice>
  </mc:AlternateContent>
  <bookViews>
    <workbookView xWindow="-120" yWindow="-120" windowWidth="20730" windowHeight="11760" firstSheet="7" activeTab="7"/>
  </bookViews>
  <sheets>
    <sheet name="PL khai thác" sheetId="6" state="hidden" r:id="rId1"/>
    <sheet name="PL quyết định" sheetId="8" state="hidden" r:id="rId2"/>
    <sheet name="cập nhật giá trị QSDĐ" sheetId="9" state="hidden" r:id="rId3"/>
    <sheet name="PL Kế hoạch" sheetId="5" state="hidden" r:id="rId4"/>
    <sheet name="Phụ lục 02 Tiền Đất" sheetId="1" state="hidden" r:id="rId5"/>
    <sheet name="Phụ lục 03 Tiền TS nhà" sheetId="4" state="hidden" r:id="rId6"/>
    <sheet name="PL Kế hoạch (2)" sheetId="7" state="hidden" r:id="rId7"/>
    <sheet name="Sheet1" sheetId="15" r:id="rId8"/>
    <sheet name="Don gia TS" sheetId="12" state="hidden" r:id="rId9"/>
  </sheets>
  <externalReferences>
    <externalReference r:id="rId10"/>
    <externalReference r:id="rId11"/>
  </externalReferences>
  <definedNames>
    <definedName name="_xlnm.Print_Area" localSheetId="2">'cập nhật giá trị QSDĐ'!$A$1:$P$38</definedName>
    <definedName name="_xlnm.Print_Area" localSheetId="4">'Phụ lục 02 Tiền Đất'!$A$1:$O$38</definedName>
    <definedName name="_xlnm.Print_Area" localSheetId="5">'Phụ lục 03 Tiền TS nhà'!$A$1:$P$19</definedName>
    <definedName name="_xlnm.Print_Area" localSheetId="3">'PL Kế hoạch'!$A$1:$N$24</definedName>
    <definedName name="_xlnm.Print_Area" localSheetId="6">'PL Kế hoạch (2)'!$A$1:$O$24</definedName>
    <definedName name="_xlnm.Print_Area" localSheetId="0">'PL khai thác'!$A$1:$Y$104</definedName>
    <definedName name="_xlnm.Print_Area" localSheetId="1">'PL quyết định'!$A$1:$Y$78</definedName>
    <definedName name="_xlnm.Print_Titles" localSheetId="3">'PL Kế hoạch'!$A:$N,'PL Kế hoạch'!$6:$7</definedName>
    <definedName name="_xlnm.Print_Titles" localSheetId="6">'PL Kế hoạch (2)'!$A:$O,'PL Kế hoạch (2)'!$6:$7</definedName>
    <definedName name="_xlnm.Print_Titles" localSheetId="0">'PL khai thác'!$A:$Y,'PL khai thác'!$5:$5</definedName>
    <definedName name="_xlnm.Print_Titles" localSheetId="1">'PL quyết định'!$A:$Y,'PL quyết định'!$5:$5</definedName>
    <definedName name="tc_22" localSheetId="0">'PL khai thác'!$X$7</definedName>
    <definedName name="tc_22" localSheetId="1">'PL quyết định'!$X$7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5" l="1"/>
  <c r="Q6" i="15" l="1"/>
  <c r="U6" i="15"/>
  <c r="R6" i="15" l="1"/>
  <c r="P6" i="15" l="1"/>
  <c r="S6" i="15" s="1"/>
  <c r="V18" i="6" l="1"/>
  <c r="U18" i="6"/>
  <c r="U19" i="8" s="1"/>
  <c r="V43" i="6"/>
  <c r="V38" i="8" s="1"/>
  <c r="U43" i="6"/>
  <c r="U38" i="8" s="1"/>
  <c r="V59" i="6"/>
  <c r="V49" i="8" s="1"/>
  <c r="U59" i="6"/>
  <c r="U49" i="8" s="1"/>
  <c r="I6" i="6"/>
  <c r="P6" i="6"/>
  <c r="F27" i="6"/>
  <c r="G27" i="6"/>
  <c r="I28" i="6"/>
  <c r="I34" i="6"/>
  <c r="L34" i="6" s="1"/>
  <c r="H35" i="6"/>
  <c r="I35" i="6" s="1"/>
  <c r="L35" i="6" s="1"/>
  <c r="K35" i="6" s="1"/>
  <c r="H52" i="6"/>
  <c r="H53" i="6"/>
  <c r="H72" i="6"/>
  <c r="H83" i="6"/>
  <c r="H90" i="6"/>
  <c r="E17" i="8"/>
  <c r="E25" i="8"/>
  <c r="S18" i="8"/>
  <c r="G29" i="9"/>
  <c r="E29" i="9"/>
  <c r="J28" i="9"/>
  <c r="D28" i="9"/>
  <c r="M27" i="9"/>
  <c r="F27" i="9"/>
  <c r="G26" i="9"/>
  <c r="D26" i="9"/>
  <c r="J25" i="9"/>
  <c r="D25" i="9"/>
  <c r="M24" i="9"/>
  <c r="F24" i="9"/>
  <c r="D24" i="9"/>
  <c r="G23" i="9"/>
  <c r="D23" i="9"/>
  <c r="J22" i="9"/>
  <c r="D22" i="9"/>
  <c r="D21" i="9" s="1"/>
  <c r="M21" i="9"/>
  <c r="F21" i="9"/>
  <c r="E21" i="9"/>
  <c r="G20" i="9"/>
  <c r="D20" i="9"/>
  <c r="G19" i="9"/>
  <c r="D19" i="9"/>
  <c r="J18" i="9"/>
  <c r="D18" i="9"/>
  <c r="M17" i="9"/>
  <c r="F17" i="9"/>
  <c r="G16" i="9"/>
  <c r="D16" i="9"/>
  <c r="J15" i="9"/>
  <c r="H15" i="9"/>
  <c r="L15" i="9" s="1"/>
  <c r="D15" i="9"/>
  <c r="M14" i="9"/>
  <c r="F14" i="9"/>
  <c r="E14" i="9"/>
  <c r="J13" i="9"/>
  <c r="H13" i="9"/>
  <c r="D13" i="9"/>
  <c r="F12" i="9"/>
  <c r="E12" i="9"/>
  <c r="G11" i="9"/>
  <c r="D11" i="9"/>
  <c r="M10" i="9"/>
  <c r="J10" i="9"/>
  <c r="H10" i="9"/>
  <c r="D10" i="9"/>
  <c r="F9" i="9"/>
  <c r="E9" i="9"/>
  <c r="H8" i="9"/>
  <c r="H28" i="9" s="1"/>
  <c r="L28" i="9" s="1"/>
  <c r="S60" i="8"/>
  <c r="V78" i="8"/>
  <c r="U78" i="8"/>
  <c r="I21" i="8"/>
  <c r="S22" i="8"/>
  <c r="T22" i="8"/>
  <c r="U22" i="8"/>
  <c r="V22" i="8"/>
  <c r="I8" i="8"/>
  <c r="L8" i="8" s="1"/>
  <c r="M8" i="8"/>
  <c r="H9" i="8"/>
  <c r="S10" i="8"/>
  <c r="T10" i="8"/>
  <c r="U10" i="8"/>
  <c r="V10" i="8"/>
  <c r="V53" i="8"/>
  <c r="V75" i="8"/>
  <c r="V72" i="8" s="1"/>
  <c r="U75" i="8"/>
  <c r="U72" i="8" s="1"/>
  <c r="T72" i="8"/>
  <c r="S72" i="8"/>
  <c r="H71" i="8"/>
  <c r="M69" i="8"/>
  <c r="G69" i="8"/>
  <c r="V64" i="8"/>
  <c r="U64" i="8"/>
  <c r="T64" i="8"/>
  <c r="S64" i="8"/>
  <c r="H63" i="8"/>
  <c r="M61" i="8"/>
  <c r="G61" i="8"/>
  <c r="U53" i="8"/>
  <c r="T53" i="8"/>
  <c r="S53" i="8"/>
  <c r="H52" i="8"/>
  <c r="M50" i="8"/>
  <c r="G50" i="8"/>
  <c r="F50" i="8"/>
  <c r="V43" i="8"/>
  <c r="U43" i="8"/>
  <c r="T43" i="8"/>
  <c r="S43" i="8"/>
  <c r="H42" i="8"/>
  <c r="H41" i="8"/>
  <c r="M39" i="8"/>
  <c r="G39" i="8"/>
  <c r="V30" i="8"/>
  <c r="U30" i="8"/>
  <c r="T30" i="8"/>
  <c r="S30" i="8"/>
  <c r="H29" i="8"/>
  <c r="I29" i="8" s="1"/>
  <c r="L29" i="8" s="1"/>
  <c r="K29" i="8" s="1"/>
  <c r="I28" i="8"/>
  <c r="L28" i="8" s="1"/>
  <c r="M27" i="8"/>
  <c r="G27" i="8"/>
  <c r="F27" i="8"/>
  <c r="G20" i="8"/>
  <c r="F20" i="8"/>
  <c r="G7" i="8"/>
  <c r="F7" i="8"/>
  <c r="P6" i="8"/>
  <c r="I6" i="8"/>
  <c r="I12" i="7"/>
  <c r="H12" i="7"/>
  <c r="G12" i="7"/>
  <c r="K11" i="7"/>
  <c r="O11" i="7" s="1"/>
  <c r="C11" i="7"/>
  <c r="K10" i="7"/>
  <c r="C10" i="7"/>
  <c r="M9" i="7"/>
  <c r="L9" i="7"/>
  <c r="I9" i="7"/>
  <c r="H9" i="7"/>
  <c r="G9" i="7"/>
  <c r="N8" i="7"/>
  <c r="S9" i="4"/>
  <c r="M8" i="5"/>
  <c r="H12" i="5"/>
  <c r="I12" i="5"/>
  <c r="G12" i="5"/>
  <c r="H9" i="5"/>
  <c r="I9" i="5"/>
  <c r="K9" i="5"/>
  <c r="L9" i="5"/>
  <c r="G9" i="5"/>
  <c r="G26" i="1"/>
  <c r="J11" i="5"/>
  <c r="J10" i="5"/>
  <c r="D16" i="4"/>
  <c r="E16" i="4"/>
  <c r="F16" i="4"/>
  <c r="G16" i="4"/>
  <c r="H16" i="4"/>
  <c r="I16" i="4"/>
  <c r="L16" i="4"/>
  <c r="H8" i="7" l="1"/>
  <c r="D14" i="9"/>
  <c r="I8" i="7"/>
  <c r="H22" i="9"/>
  <c r="L22" i="9" s="1"/>
  <c r="H25" i="9"/>
  <c r="L25" i="9" s="1"/>
  <c r="I51" i="6"/>
  <c r="L51" i="6" s="1"/>
  <c r="I52" i="6"/>
  <c r="L52" i="6" s="1"/>
  <c r="K52" i="6" s="1"/>
  <c r="I53" i="6"/>
  <c r="L53" i="6" s="1"/>
  <c r="K53" i="6" s="1"/>
  <c r="I71" i="6"/>
  <c r="L71" i="6" s="1"/>
  <c r="P8" i="5"/>
  <c r="I8" i="5"/>
  <c r="H18" i="9"/>
  <c r="L18" i="9" s="1"/>
  <c r="H8" i="5"/>
  <c r="D17" i="9"/>
  <c r="I72" i="6"/>
  <c r="L72" i="6" s="1"/>
  <c r="K72" i="6" s="1"/>
  <c r="I82" i="6"/>
  <c r="L82" i="6" s="1"/>
  <c r="I83" i="6"/>
  <c r="L83" i="6" s="1"/>
  <c r="K83" i="6" s="1"/>
  <c r="I89" i="6"/>
  <c r="L89" i="6" s="1"/>
  <c r="K89" i="6" s="1"/>
  <c r="I90" i="6"/>
  <c r="L90" i="6" s="1"/>
  <c r="K90" i="6" s="1"/>
  <c r="E84" i="6"/>
  <c r="E67" i="8" s="1"/>
  <c r="E73" i="6"/>
  <c r="E59" i="8" s="1"/>
  <c r="J12" i="9"/>
  <c r="D12" i="9"/>
  <c r="R13" i="9" s="1"/>
  <c r="D9" i="9"/>
  <c r="L10" i="9"/>
  <c r="G8" i="5"/>
  <c r="J9" i="5"/>
  <c r="N11" i="5"/>
  <c r="N10" i="5"/>
  <c r="L28" i="6"/>
  <c r="L27" i="6" s="1"/>
  <c r="M28" i="6"/>
  <c r="M27" i="6" s="1"/>
  <c r="K34" i="6"/>
  <c r="K82" i="6"/>
  <c r="L21" i="8"/>
  <c r="M21" i="8"/>
  <c r="M20" i="8" s="1"/>
  <c r="M9" i="8"/>
  <c r="M7" i="8" s="1"/>
  <c r="I9" i="8"/>
  <c r="L9" i="8" s="1"/>
  <c r="J29" i="9"/>
  <c r="J27" i="9" s="1"/>
  <c r="H29" i="9"/>
  <c r="L29" i="9" s="1"/>
  <c r="K29" i="9" s="1"/>
  <c r="D29" i="9"/>
  <c r="D27" i="9" s="1"/>
  <c r="H26" i="9"/>
  <c r="L26" i="9" s="1"/>
  <c r="K26" i="9" s="1"/>
  <c r="J26" i="9"/>
  <c r="J24" i="9" s="1"/>
  <c r="K25" i="9"/>
  <c r="J23" i="9"/>
  <c r="J21" i="9" s="1"/>
  <c r="H23" i="9"/>
  <c r="L23" i="9" s="1"/>
  <c r="K23" i="9" s="1"/>
  <c r="K22" i="9"/>
  <c r="H20" i="9"/>
  <c r="L20" i="9" s="1"/>
  <c r="K20" i="9" s="1"/>
  <c r="J20" i="9"/>
  <c r="J19" i="9"/>
  <c r="H19" i="9"/>
  <c r="L19" i="9" s="1"/>
  <c r="K19" i="9" s="1"/>
  <c r="J16" i="9"/>
  <c r="J14" i="9" s="1"/>
  <c r="H16" i="9"/>
  <c r="L16" i="9" s="1"/>
  <c r="K15" i="9"/>
  <c r="M13" i="9"/>
  <c r="M12" i="9" s="1"/>
  <c r="L13" i="9"/>
  <c r="H11" i="9"/>
  <c r="L11" i="9" s="1"/>
  <c r="M11" i="9"/>
  <c r="M9" i="9" s="1"/>
  <c r="J11" i="9"/>
  <c r="J9" i="9" s="1"/>
  <c r="K28" i="9"/>
  <c r="S6" i="8"/>
  <c r="T6" i="8"/>
  <c r="U6" i="8"/>
  <c r="V6" i="8"/>
  <c r="K8" i="8"/>
  <c r="I71" i="8"/>
  <c r="L71" i="8" s="1"/>
  <c r="K71" i="8" s="1"/>
  <c r="I52" i="8"/>
  <c r="L52" i="8" s="1"/>
  <c r="K52" i="8" s="1"/>
  <c r="I41" i="8"/>
  <c r="L41" i="8" s="1"/>
  <c r="K41" i="8" s="1"/>
  <c r="I42" i="8"/>
  <c r="L42" i="8" s="1"/>
  <c r="K42" i="8" s="1"/>
  <c r="L27" i="8"/>
  <c r="K28" i="8"/>
  <c r="K27" i="8" s="1"/>
  <c r="P27" i="8" s="1"/>
  <c r="I70" i="8"/>
  <c r="L70" i="8" s="1"/>
  <c r="I63" i="8"/>
  <c r="L63" i="8" s="1"/>
  <c r="K63" i="8" s="1"/>
  <c r="I62" i="8"/>
  <c r="L62" i="8" s="1"/>
  <c r="I51" i="8"/>
  <c r="L51" i="8" s="1"/>
  <c r="I40" i="8"/>
  <c r="L40" i="8" s="1"/>
  <c r="K9" i="7"/>
  <c r="G8" i="7"/>
  <c r="Q8" i="7"/>
  <c r="O10" i="7"/>
  <c r="O9" i="7" s="1"/>
  <c r="T92" i="6"/>
  <c r="S92" i="6"/>
  <c r="J13" i="4"/>
  <c r="V37" i="6"/>
  <c r="T18" i="8"/>
  <c r="U18" i="8"/>
  <c r="V18" i="8"/>
  <c r="E36" i="6" l="1"/>
  <c r="E36" i="8" s="1"/>
  <c r="N9" i="5"/>
  <c r="L21" i="9"/>
  <c r="K28" i="6"/>
  <c r="J17" i="9"/>
  <c r="U54" i="6" s="1"/>
  <c r="K71" i="6"/>
  <c r="K51" i="6"/>
  <c r="L24" i="9"/>
  <c r="K24" i="9"/>
  <c r="P24" i="9" s="1"/>
  <c r="L17" i="9"/>
  <c r="K18" i="9"/>
  <c r="K17" i="9" s="1"/>
  <c r="P17" i="9" s="1"/>
  <c r="E54" i="6"/>
  <c r="E47" i="8" s="1"/>
  <c r="U29" i="6"/>
  <c r="V29" i="6" s="1"/>
  <c r="U25" i="8" s="1"/>
  <c r="V25" i="8" s="1"/>
  <c r="K10" i="9"/>
  <c r="L9" i="9"/>
  <c r="K9" i="9" s="1"/>
  <c r="P9" i="9" s="1"/>
  <c r="L27" i="9"/>
  <c r="U84" i="6"/>
  <c r="U73" i="6"/>
  <c r="U36" i="6"/>
  <c r="U10" i="6"/>
  <c r="K27" i="6"/>
  <c r="P27" i="6" s="1"/>
  <c r="U91" i="6"/>
  <c r="V91" i="6" s="1"/>
  <c r="E91" i="6"/>
  <c r="E76" i="8" s="1"/>
  <c r="K21" i="8"/>
  <c r="K15" i="4"/>
  <c r="O15" i="4" s="1"/>
  <c r="T77" i="8"/>
  <c r="J15" i="4"/>
  <c r="S77" i="8"/>
  <c r="K14" i="4"/>
  <c r="O14" i="4" s="1"/>
  <c r="T68" i="8"/>
  <c r="M14" i="4"/>
  <c r="U68" i="8"/>
  <c r="N14" i="4"/>
  <c r="V68" i="8"/>
  <c r="J14" i="4"/>
  <c r="S68" i="8"/>
  <c r="K13" i="4"/>
  <c r="O13" i="4" s="1"/>
  <c r="T60" i="8"/>
  <c r="M13" i="4"/>
  <c r="U60" i="8"/>
  <c r="N13" i="4"/>
  <c r="V60" i="8"/>
  <c r="K12" i="4"/>
  <c r="T48" i="8"/>
  <c r="M12" i="4"/>
  <c r="U48" i="8"/>
  <c r="N12" i="4"/>
  <c r="V48" i="8"/>
  <c r="J12" i="4"/>
  <c r="S48" i="8"/>
  <c r="K11" i="4"/>
  <c r="T37" i="8"/>
  <c r="M11" i="4"/>
  <c r="U37" i="8"/>
  <c r="N11" i="4"/>
  <c r="V37" i="8"/>
  <c r="J11" i="4"/>
  <c r="S37" i="8"/>
  <c r="K10" i="4"/>
  <c r="T26" i="8"/>
  <c r="M10" i="4"/>
  <c r="U26" i="8"/>
  <c r="N10" i="4"/>
  <c r="O10" i="4" s="1"/>
  <c r="V26" i="8"/>
  <c r="J10" i="4"/>
  <c r="S26" i="8"/>
  <c r="K27" i="9"/>
  <c r="P27" i="9" s="1"/>
  <c r="K9" i="8"/>
  <c r="K13" i="9"/>
  <c r="L12" i="9"/>
  <c r="K12" i="9" s="1"/>
  <c r="P12" i="9" s="1"/>
  <c r="K21" i="9"/>
  <c r="P21" i="9" s="1"/>
  <c r="K11" i="9"/>
  <c r="K16" i="9"/>
  <c r="K14" i="9" s="1"/>
  <c r="P14" i="9" s="1"/>
  <c r="L14" i="9"/>
  <c r="L20" i="8"/>
  <c r="K20" i="8" s="1"/>
  <c r="P20" i="8" s="1"/>
  <c r="L69" i="8"/>
  <c r="K70" i="8"/>
  <c r="K69" i="8" s="1"/>
  <c r="P69" i="8" s="1"/>
  <c r="L61" i="8"/>
  <c r="K62" i="8"/>
  <c r="K61" i="8" s="1"/>
  <c r="P61" i="8" s="1"/>
  <c r="L50" i="8"/>
  <c r="K51" i="8"/>
  <c r="K50" i="8" s="1"/>
  <c r="P50" i="8" s="1"/>
  <c r="L39" i="8"/>
  <c r="K40" i="8"/>
  <c r="K39" i="8" s="1"/>
  <c r="P39" i="8" s="1"/>
  <c r="L7" i="8"/>
  <c r="K7" i="8" s="1"/>
  <c r="P7" i="8" s="1"/>
  <c r="K9" i="4"/>
  <c r="M9" i="4"/>
  <c r="N9" i="4"/>
  <c r="J9" i="4"/>
  <c r="V95" i="6"/>
  <c r="V92" i="6" s="1"/>
  <c r="V77" i="8" s="1"/>
  <c r="U95" i="6"/>
  <c r="U92" i="6" s="1"/>
  <c r="U77" i="8" s="1"/>
  <c r="E90" i="6"/>
  <c r="E89" i="6"/>
  <c r="E83" i="6"/>
  <c r="E82" i="6"/>
  <c r="E72" i="6"/>
  <c r="E71" i="6"/>
  <c r="E53" i="6"/>
  <c r="E52" i="6"/>
  <c r="E51" i="6"/>
  <c r="E35" i="6"/>
  <c r="E34" i="6"/>
  <c r="E28" i="6"/>
  <c r="C10" i="4" s="1"/>
  <c r="G29" i="1"/>
  <c r="D29" i="1"/>
  <c r="G23" i="1"/>
  <c r="D28" i="1"/>
  <c r="D26" i="1"/>
  <c r="D25" i="1"/>
  <c r="D23" i="1"/>
  <c r="D22" i="1"/>
  <c r="D20" i="1"/>
  <c r="D19" i="1"/>
  <c r="D18" i="1"/>
  <c r="D16" i="1"/>
  <c r="D15" i="1"/>
  <c r="E78" i="8" l="1"/>
  <c r="V84" i="6"/>
  <c r="U67" i="8"/>
  <c r="V67" i="8" s="1"/>
  <c r="V73" i="6"/>
  <c r="V59" i="8" s="1"/>
  <c r="U59" i="8"/>
  <c r="U47" i="8"/>
  <c r="V47" i="8" s="1"/>
  <c r="V54" i="6"/>
  <c r="U36" i="8"/>
  <c r="V36" i="8" s="1"/>
  <c r="V36" i="6"/>
  <c r="U17" i="8"/>
  <c r="V17" i="8" s="1"/>
  <c r="V10" i="6"/>
  <c r="U76" i="8"/>
  <c r="V76" i="8" s="1"/>
  <c r="J16" i="4"/>
  <c r="L19" i="5"/>
  <c r="Q19" i="5" s="1"/>
  <c r="M19" i="7"/>
  <c r="R19" i="7" s="1"/>
  <c r="L18" i="5"/>
  <c r="Q18" i="5" s="1"/>
  <c r="M18" i="7"/>
  <c r="L17" i="5"/>
  <c r="Q17" i="5" s="1"/>
  <c r="M17" i="7"/>
  <c r="Q12" i="4"/>
  <c r="O12" i="4"/>
  <c r="T78" i="8"/>
  <c r="S78" i="8"/>
  <c r="K16" i="4"/>
  <c r="Q9" i="4"/>
  <c r="O9" i="4"/>
  <c r="R10" i="4"/>
  <c r="M14" i="7"/>
  <c r="L14" i="5"/>
  <c r="N15" i="4"/>
  <c r="N16" i="4" s="1"/>
  <c r="M15" i="4"/>
  <c r="M16" i="4" s="1"/>
  <c r="C14" i="4"/>
  <c r="C11" i="4"/>
  <c r="C12" i="4"/>
  <c r="C9" i="4"/>
  <c r="C13" i="4"/>
  <c r="C15" i="4"/>
  <c r="G20" i="1"/>
  <c r="G19" i="1"/>
  <c r="H8" i="1"/>
  <c r="H15" i="1"/>
  <c r="G16" i="1"/>
  <c r="H16" i="1" s="1"/>
  <c r="H29" i="1" l="1"/>
  <c r="H23" i="1"/>
  <c r="K23" i="1" s="1"/>
  <c r="H19" i="1"/>
  <c r="K19" i="1" s="1"/>
  <c r="J19" i="1" s="1"/>
  <c r="H20" i="1"/>
  <c r="K20" i="1" s="1"/>
  <c r="J20" i="1" s="1"/>
  <c r="H18" i="1"/>
  <c r="K18" i="1" s="1"/>
  <c r="J18" i="1" s="1"/>
  <c r="H25" i="1"/>
  <c r="H28" i="1"/>
  <c r="H26" i="1"/>
  <c r="H22" i="1"/>
  <c r="K22" i="1" s="1"/>
  <c r="R18" i="7"/>
  <c r="R17" i="7"/>
  <c r="R12" i="4"/>
  <c r="R13" i="4" s="1"/>
  <c r="L16" i="5"/>
  <c r="Q16" i="5" s="1"/>
  <c r="M16" i="7"/>
  <c r="R9" i="4"/>
  <c r="M13" i="7"/>
  <c r="O11" i="4"/>
  <c r="O16" i="4" s="1"/>
  <c r="L13" i="5"/>
  <c r="R14" i="7"/>
  <c r="Q14" i="5"/>
  <c r="C16" i="4"/>
  <c r="L27" i="1"/>
  <c r="F27" i="1"/>
  <c r="D27" i="1"/>
  <c r="L24" i="1"/>
  <c r="F24" i="1"/>
  <c r="E21" i="1"/>
  <c r="L21" i="1"/>
  <c r="F21" i="1"/>
  <c r="L17" i="1"/>
  <c r="F17" i="1"/>
  <c r="K16" i="1"/>
  <c r="J16" i="1" s="1"/>
  <c r="E14" i="1"/>
  <c r="L14" i="1"/>
  <c r="F14" i="1"/>
  <c r="C11" i="5"/>
  <c r="C10" i="5"/>
  <c r="K29" i="1" l="1"/>
  <c r="J29" i="1" s="1"/>
  <c r="K26" i="1"/>
  <c r="J26" i="1" s="1"/>
  <c r="J23" i="1"/>
  <c r="R16" i="7"/>
  <c r="K28" i="1"/>
  <c r="R13" i="7"/>
  <c r="M15" i="7"/>
  <c r="M12" i="7" s="1"/>
  <c r="M8" i="7" s="1"/>
  <c r="L15" i="5"/>
  <c r="L12" i="5" s="1"/>
  <c r="L8" i="5" s="1"/>
  <c r="Q13" i="5"/>
  <c r="D24" i="1"/>
  <c r="K25" i="1"/>
  <c r="J25" i="1" s="1"/>
  <c r="D17" i="1"/>
  <c r="D14" i="1"/>
  <c r="K21" i="1"/>
  <c r="D21" i="1"/>
  <c r="K17" i="1"/>
  <c r="K15" i="1"/>
  <c r="J15" i="1" s="1"/>
  <c r="J14" i="1" s="1"/>
  <c r="O14" i="1" s="1"/>
  <c r="K27" i="1" l="1"/>
  <c r="J28" i="1"/>
  <c r="J27" i="1" s="1"/>
  <c r="O27" i="1" s="1"/>
  <c r="J24" i="1"/>
  <c r="O24" i="1" s="1"/>
  <c r="K19" i="5"/>
  <c r="L19" i="7"/>
  <c r="K18" i="5"/>
  <c r="L18" i="7"/>
  <c r="L15" i="7"/>
  <c r="Q15" i="7" s="1"/>
  <c r="K15" i="5"/>
  <c r="P15" i="5" s="1"/>
  <c r="R15" i="7"/>
  <c r="R12" i="7" s="1"/>
  <c r="Q15" i="5"/>
  <c r="Q12" i="5" s="1"/>
  <c r="J15" i="5"/>
  <c r="N15" i="5" s="1"/>
  <c r="K24" i="1"/>
  <c r="J22" i="1"/>
  <c r="J21" i="1" s="1"/>
  <c r="O21" i="1" s="1"/>
  <c r="J17" i="1"/>
  <c r="O17" i="1" s="1"/>
  <c r="K14" i="1"/>
  <c r="K15" i="7" l="1"/>
  <c r="P19" i="5"/>
  <c r="J19" i="5"/>
  <c r="N19" i="5" s="1"/>
  <c r="K19" i="7"/>
  <c r="O19" i="7" s="1"/>
  <c r="Q19" i="7"/>
  <c r="P18" i="5"/>
  <c r="J18" i="5"/>
  <c r="N18" i="5" s="1"/>
  <c r="K18" i="7"/>
  <c r="O18" i="7" s="1"/>
  <c r="Q18" i="7"/>
  <c r="K17" i="5"/>
  <c r="L17" i="7"/>
  <c r="K16" i="5"/>
  <c r="L16" i="7"/>
  <c r="O15" i="7"/>
  <c r="H10" i="1"/>
  <c r="K10" i="1" s="1"/>
  <c r="H13" i="1"/>
  <c r="K13" i="1" s="1"/>
  <c r="D13" i="1"/>
  <c r="F12" i="1"/>
  <c r="E12" i="1"/>
  <c r="P17" i="5" l="1"/>
  <c r="J17" i="5"/>
  <c r="N17" i="5" s="1"/>
  <c r="K17" i="7"/>
  <c r="O17" i="7" s="1"/>
  <c r="Q17" i="7"/>
  <c r="P16" i="5"/>
  <c r="J16" i="5"/>
  <c r="N16" i="5" s="1"/>
  <c r="K16" i="7"/>
  <c r="O16" i="7" s="1"/>
  <c r="Q16" i="7"/>
  <c r="L13" i="1"/>
  <c r="D12" i="1"/>
  <c r="K12" i="1" l="1"/>
  <c r="G11" i="1" l="1"/>
  <c r="E9" i="1"/>
  <c r="F9" i="1"/>
  <c r="L10" i="1"/>
  <c r="L11" i="1" l="1"/>
  <c r="L9" i="1" s="1"/>
  <c r="H11" i="1"/>
  <c r="K11" i="1" s="1"/>
  <c r="K9" i="1" s="1"/>
  <c r="J10" i="1"/>
  <c r="J9" i="1" l="1"/>
  <c r="O9" i="1" s="1"/>
  <c r="J11" i="1"/>
  <c r="K13" i="5" l="1"/>
  <c r="L13" i="7"/>
  <c r="D11" i="1"/>
  <c r="D10" i="1"/>
  <c r="J13" i="5" l="1"/>
  <c r="P13" i="5"/>
  <c r="K13" i="7"/>
  <c r="Q13" i="7"/>
  <c r="D9" i="1"/>
  <c r="N13" i="5" l="1"/>
  <c r="O13" i="7"/>
  <c r="J13" i="1"/>
  <c r="L12" i="1"/>
  <c r="J12" i="1" s="1"/>
  <c r="O12" i="1" s="1"/>
  <c r="K14" i="5" l="1"/>
  <c r="L14" i="7"/>
  <c r="K12" i="5" l="1"/>
  <c r="K8" i="5" s="1"/>
  <c r="J14" i="5"/>
  <c r="P14" i="5"/>
  <c r="P12" i="5" s="1"/>
  <c r="L12" i="7"/>
  <c r="L8" i="7" s="1"/>
  <c r="K14" i="7"/>
  <c r="Q14" i="7"/>
  <c r="Q12" i="7" s="1"/>
  <c r="J12" i="5" l="1"/>
  <c r="J8" i="5" s="1"/>
  <c r="N14" i="5"/>
  <c r="N12" i="5" s="1"/>
  <c r="N8" i="5" s="1"/>
  <c r="K12" i="7"/>
  <c r="K8" i="7" s="1"/>
  <c r="O14" i="7"/>
  <c r="O12" i="7" s="1"/>
  <c r="O8" i="7" s="1"/>
</calcChain>
</file>

<file path=xl/sharedStrings.xml><?xml version="1.0" encoding="utf-8"?>
<sst xmlns="http://schemas.openxmlformats.org/spreadsheetml/2006/main" count="754" uniqueCount="249">
  <si>
    <t>Diện tích bám đường</t>
  </si>
  <si>
    <t>Diện tích không bám đường</t>
  </si>
  <si>
    <t>Tổng diện tích</t>
  </si>
  <si>
    <t>Phần diện tích bám đường</t>
  </si>
  <si>
    <t>Phần diện tích ko bám đường (70%)</t>
  </si>
  <si>
    <t>Nội dung</t>
  </si>
  <si>
    <t>TT</t>
  </si>
  <si>
    <t>Diện tích (m2)</t>
  </si>
  <si>
    <t>TRUNG TÂM PHÁT TRIỂN QUỸ ĐẤT</t>
  </si>
  <si>
    <t>Ghi chú: Thực hiện theo điểm a khoản 1 Điều 99 Nghị định số 186/2025/NĐ-CP ngày 01/7/2025</t>
  </si>
  <si>
    <t>- Lớp 1</t>
  </si>
  <si>
    <t>- Lớp 2 (=0,4 lớp 1)</t>
  </si>
  <si>
    <t>Ghi chú</t>
  </si>
  <si>
    <t>Tổng giá trị</t>
  </si>
  <si>
    <t>Đơn vị tính: đồng</t>
  </si>
  <si>
    <t>Đất thương mại dịch vụ</t>
  </si>
  <si>
    <t>Sở Lao Động (04, Trần Phú)</t>
  </si>
  <si>
    <t>Trung tâm kỹ thuật địa chính (192, Trần Phú)</t>
  </si>
  <si>
    <t>Tiền thuê đất/năm</t>
  </si>
  <si>
    <t>Giá trị QSD đất (tính theo Bảng giá đất TMDV)</t>
  </si>
  <si>
    <t>Giá đất TMDV theo Bảng giá (đồng/m2)</t>
  </si>
  <si>
    <t>Giá đất TMDV (50 năm theo NĐ 108) (đồng/m2)</t>
  </si>
  <si>
    <t>Hệ số bám mặt tiền</t>
  </si>
  <si>
    <t>Giá trị quyền Sử dụng đất</t>
  </si>
  <si>
    <t>Gía trị tài sản</t>
  </si>
  <si>
    <t>Giá đất theo Bảng giá đất (đồng)</t>
  </si>
  <si>
    <t>đất TMDV 50 năm (*50/70)</t>
  </si>
  <si>
    <t>Hệ số hai mặt tiền (1,2)</t>
  </si>
  <si>
    <t>Hệ số đơn giá tính tiền thuê đất (1,3%)</t>
  </si>
  <si>
    <t>Diện tích xây dựng</t>
  </si>
  <si>
    <t>Diện tích sàn xây dựng</t>
  </si>
  <si>
    <t>Năm đưa vào sử dụng</t>
  </si>
  <si>
    <t>Nguyên giá</t>
  </si>
  <si>
    <t>Giá trị còn lại đến ngày 01/01/2025 (đồng)</t>
  </si>
  <si>
    <t>Giá trị tài sản (đồng/năm)</t>
  </si>
  <si>
    <t>Tổng</t>
  </si>
  <si>
    <t>Giá trị QSD đất TMDV (đồng/năm)</t>
  </si>
  <si>
    <t>I</t>
  </si>
  <si>
    <t>KẾ HOẠCH 2026</t>
  </si>
  <si>
    <t>Thửa số 02 - Tờ bản đồ số 5 (Nam Hà)</t>
  </si>
  <si>
    <t>Thửa số 24 - Tờ bản đồ số 226 (P. Thành Sen)</t>
  </si>
  <si>
    <t>Thửa số 15, tờ bản đồ số 226 (P. Thành Sen)</t>
  </si>
  <si>
    <t>Thửa số 357, tờ bản đồ số 83 (P.Thành Sen)</t>
  </si>
  <si>
    <t xml:space="preserve">Diện tích  đất </t>
  </si>
  <si>
    <t>Diện tích sàn sử dụng</t>
  </si>
  <si>
    <t>STT</t>
  </si>
  <si>
    <t>Địa chỉ nhà, đất</t>
  </si>
  <si>
    <t>Số thứ tự thửa đất, tờ bản đồ</t>
  </si>
  <si>
    <t>Năm xây dựng</t>
  </si>
  <si>
    <r>
      <t>Diện tích (m</t>
    </r>
    <r>
      <rPr>
        <b/>
        <vertAlign val="superscript"/>
        <sz val="13"/>
        <color rgb="FF000000"/>
        <rFont val="Times New Roman"/>
        <family val="1"/>
      </rPr>
      <t>2</t>
    </r>
    <r>
      <rPr>
        <b/>
        <sz val="13"/>
        <color rgb="FF000000"/>
        <rFont val="Times New Roman"/>
        <family val="1"/>
      </rPr>
      <t>)</t>
    </r>
  </si>
  <si>
    <t>Đất</t>
  </si>
  <si>
    <t>Sàn xây dựng nhà</t>
  </si>
  <si>
    <t>Sàn sử dụng nhà</t>
  </si>
  <si>
    <t>Tổng cộng</t>
  </si>
  <si>
    <t>Sở Thông tin và Truyền thông (cũ)</t>
  </si>
  <si>
    <t>Sở Công Thương</t>
  </si>
  <si>
    <t>Thời hạn còn lại 03 năm</t>
  </si>
  <si>
    <t>BẢNG TÍNH  GIÁ TRỊ QUYỀN SỬ DỤNG ĐẤT CHO THUÊ</t>
  </si>
  <si>
    <t>BẢNG TÍNH GIÁ TRỊ TÀI SẢN TRÊN ĐẤT</t>
  </si>
  <si>
    <t>Ghi chú:</t>
  </si>
  <si>
    <t>- Đơn giá cho thuê nhà tại Bảng giá cho thuê nhà là giá thuê nhà theo năm tính trên m2 diện tích sàn sử dụng</t>
  </si>
  <si>
    <t>- Trường hợp thời gian thuê nhà không tròn năm thì phân bổ đơn giá cho thuê nhà tại Bảng giá để xác định tiền thuê nhà tương ứng theo tháng. Trường hợp thời gian thuê nhà của tháng dưới 15 ngày thì tính tiền thuê nhà là ½ tháng, từ 15 ngày trở lên thì tính tiền thuê nhà là 01 tháng.</t>
  </si>
  <si>
    <t xml:space="preserve">Chi cục Hải quan Khu vực XI </t>
  </si>
  <si>
    <t>Thửa đất số 10, tờ bản đồ số 199 (phường Thành Sen).</t>
  </si>
  <si>
    <t xml:space="preserve">Ngân hàng Nhà nước Chi nhánh Khu vực 8 </t>
  </si>
  <si>
    <t>Thửa đất số 1, tờ bản đồ số 265 (phường Thành Sen).</t>
  </si>
  <si>
    <t>Trụ sở làm việc Ban quản lý Khu kinh tế tỉnh Hà Tĩnh - tại P. Vũng Áng</t>
  </si>
  <si>
    <t>Thửa đất số 11, tờ bản đồ số 105 (phường Vũng Áng).</t>
  </si>
  <si>
    <t>Trụ sở làm việc Ban quản lý Khu kinh tế tỉnh Hà Tĩnh - Khối 5 thị trấn Tây Sơn</t>
  </si>
  <si>
    <t>Thửa đất số 77, tờ bản đồ số 258 (Xã Sơn Tây).</t>
  </si>
  <si>
    <t>Nhà làm việc liên ngành cổng B (Sơn Tây)</t>
  </si>
  <si>
    <t>Thửa đất số 72, tờ bản đồ số 20 (xã Sơn Tây).</t>
  </si>
  <si>
    <t xml:space="preserve">Tỷ lệ % tính tiền thuê đất (QĐ 42) </t>
  </si>
  <si>
    <t>- Lớp 2 (=0,3 lớp 1)</t>
  </si>
  <si>
    <t>DANH MỤC, THÔNG TIN CƠ SỞ NHÀ ĐẤT KHAI THÁC THEO NGHỊ ĐỊNH 108/2024</t>
  </si>
  <si>
    <t xml:space="preserve">Giá trị còn lại </t>
  </si>
  <si>
    <t>Hiện trạng sử dụng</t>
  </si>
  <si>
    <t>Cơ sở nhà đất</t>
  </si>
  <si>
    <t>số thứ tự thửa đất, tờ bản đồ</t>
  </si>
  <si>
    <t>Địa chỉ</t>
  </si>
  <si>
    <t>Nhà số 1 (4 tầng)</t>
  </si>
  <si>
    <t>Nhà số 2 (3 tầng)</t>
  </si>
  <si>
    <t>Nhà số 3 (2 tầng)</t>
  </si>
  <si>
    <t>Nhà trực bảo vệ</t>
  </si>
  <si>
    <t>nhà kho</t>
  </si>
  <si>
    <t>Nhà bếp</t>
  </si>
  <si>
    <t xml:space="preserve">Trụ sở làm việc 3 tầng </t>
  </si>
  <si>
    <t xml:space="preserve">Công trình phụ </t>
  </si>
  <si>
    <t>Nhà làm việc 1</t>
  </si>
  <si>
    <t>Nhà làm việc 2</t>
  </si>
  <si>
    <t>Nhà làm việc bằng gỗ 1</t>
  </si>
  <si>
    <t>Nhà làm việc bằng gỗ 2</t>
  </si>
  <si>
    <t>Nhà công vụ</t>
  </si>
  <si>
    <t>Nhà Làm việc</t>
  </si>
  <si>
    <t>Nhà công vụ 1</t>
  </si>
  <si>
    <t>Nhà công vụ 2</t>
  </si>
  <si>
    <t>Nhà hành chính Liên ngành</t>
  </si>
  <si>
    <t>Nhà làm việc kiêm kho</t>
  </si>
  <si>
    <t>Nhà Lưu trú</t>
  </si>
  <si>
    <t>Nhà lưu trú công an, bảo vệ</t>
  </si>
  <si>
    <t>31/12/2025</t>
  </si>
  <si>
    <t>Nhà bảo vệ</t>
  </si>
  <si>
    <t>Nhà tiếp dân</t>
  </si>
  <si>
    <t>Hư hỏng, mối mọt</t>
  </si>
  <si>
    <t>Đề xuất phá dỡ, hũy bỏ -  không tổng hợp vào khai thác</t>
  </si>
  <si>
    <t>Nhà làm việc A1 -3 tầng</t>
  </si>
  <si>
    <t>Nhà làm việc A2 - 3 tầng</t>
  </si>
  <si>
    <t>Nhà văn thư - gara - 2 tầng</t>
  </si>
  <si>
    <t xml:space="preserve">Trung tâm kỹ thuật địa chính </t>
  </si>
  <si>
    <t>Số 192, Trần Phú, phường Thành Sen</t>
  </si>
  <si>
    <t>Số 04, Trần Phú, phường Thành Sen</t>
  </si>
  <si>
    <t>Số 154, Trần Phú, phường Thành Sen</t>
  </si>
  <si>
    <t>Số 13, Trần Phú, phường Thành Sen</t>
  </si>
  <si>
    <t>Trụ sở làm việc Ban quản lý Khu kinh tế tỉnh Hà Tĩnh</t>
  </si>
  <si>
    <t xml:space="preserve">Nhà làm việc liên ngành cổng B </t>
  </si>
  <si>
    <t>Nhà</t>
  </si>
  <si>
    <t xml:space="preserve">Nhà </t>
  </si>
  <si>
    <t>-</t>
  </si>
  <si>
    <t>Xã Sơn Tây, tỉnh Hà Tĩnh</t>
  </si>
  <si>
    <t>Phường Vũng Áng, tỉnh Hà Tĩnh</t>
  </si>
  <si>
    <t>PHỤ LỤC: GIÁ TRỊ DỰ KIẾN NỘP NGÂN SÁCH</t>
  </si>
  <si>
    <t>A</t>
  </si>
  <si>
    <t>Đã phê duyệt</t>
  </si>
  <si>
    <t>B</t>
  </si>
  <si>
    <t>Bổ sung</t>
  </si>
  <si>
    <t>Tiền thuê nhà/năm</t>
  </si>
  <si>
    <t>Tổng cộng/năm</t>
  </si>
  <si>
    <t>Dự kiến năm 2026</t>
  </si>
  <si>
    <t>Số tháng năm 2026</t>
  </si>
  <si>
    <t>Năm 2026</t>
  </si>
  <si>
    <t>BỔ SUNG KẾ HOẠC 2026</t>
  </si>
  <si>
    <t>2008</t>
  </si>
  <si>
    <t>2004</t>
  </si>
  <si>
    <t>1995</t>
  </si>
  <si>
    <t>2012</t>
  </si>
  <si>
    <t xml:space="preserve">Tham khảo giá trị trường  </t>
  </si>
  <si>
    <t>Giá thị trường địa bàn phường Vũng áng 60.000 đ/m2/năm; địa bàn xã Sơn tây 50.000đ/m2/năm</t>
  </si>
  <si>
    <t>Dự kiến giá trị thuê nhà hằng năm</t>
  </si>
  <si>
    <t>BỔ SUNG KẾ HOẠCH 2026</t>
  </si>
  <si>
    <t>Không sử dụng, khai thác tốt</t>
  </si>
  <si>
    <t>Giá cho thuê sẽ được Tư vấn Thẩm định giá xác định lại khi trình bảng giá</t>
  </si>
  <si>
    <t>Thời hạn còn lại 04 năm</t>
  </si>
  <si>
    <t>Thời hạn còn lại 07 năm</t>
  </si>
  <si>
    <t>Tính 80% theo đơn giá Sở công thương</t>
  </si>
  <si>
    <t>Sở Lao Động Thương binh và xã hội</t>
  </si>
  <si>
    <t>Mục đích</t>
  </si>
  <si>
    <t>Sở Lao Động Thương binh và xã hội (Cũ)</t>
  </si>
  <si>
    <t>Trung tâm kỹ thuật địa chính (Cũ)</t>
  </si>
  <si>
    <t>Chi cục Hải quan Khu vực XI (Cũ)</t>
  </si>
  <si>
    <t>Ngân hàng Nhà nước Chi nhánh Khu vực 8 (Cũ)</t>
  </si>
  <si>
    <t>Trụ sở làm việc Ban quản lý Khu kinh tế tỉnh Hà Tĩnh (Cũ)</t>
  </si>
  <si>
    <t xml:space="preserve">Nhà làm việc liên ngành cổng B (Cũ) </t>
  </si>
  <si>
    <t>Cho thuê nhà (gắn với quyền sử dụng đất)</t>
  </si>
  <si>
    <t>Tổng diện tích đất (m2)</t>
  </si>
  <si>
    <t>Diện tích sàn xây dựng (m2)</t>
  </si>
  <si>
    <r>
      <t xml:space="preserve">Diện tích sàn sử dụng </t>
    </r>
    <r>
      <rPr>
        <sz val="11"/>
        <color theme="1"/>
        <rFont val="Times New Roman"/>
        <family val="1"/>
      </rPr>
      <t>(m2)</t>
    </r>
  </si>
  <si>
    <t>Trụ sở làm việc Ban quản lý Khu kinh tế tỉnh Hà Tĩnh  (Cũ)</t>
  </si>
  <si>
    <t xml:space="preserve">Tổng diện tích </t>
  </si>
  <si>
    <t xml:space="preserve">BẢNG TÍNH CẬP NHẬT GIÁ TRỊ QUYỀN SỬ DỤNG ĐẤT </t>
  </si>
  <si>
    <t>Giá đất ở cùng vị trí theo Bảng giá (đồng/m2)</t>
  </si>
  <si>
    <t>- Lớp 3 (=0,3 lớp 1)</t>
  </si>
  <si>
    <t>1.1</t>
  </si>
  <si>
    <t>1.2</t>
  </si>
  <si>
    <t>2.1</t>
  </si>
  <si>
    <t>2.2</t>
  </si>
  <si>
    <t>3.1</t>
  </si>
  <si>
    <t>3.2</t>
  </si>
  <si>
    <t>4.1</t>
  </si>
  <si>
    <t>4.2</t>
  </si>
  <si>
    <t>5.1</t>
  </si>
  <si>
    <t>5.2</t>
  </si>
  <si>
    <t>6.1</t>
  </si>
  <si>
    <t>6.2</t>
  </si>
  <si>
    <t>7.1</t>
  </si>
  <si>
    <t>7.2</t>
  </si>
  <si>
    <t>(Áp dụng từ ngày 01/01/2026 định kỳ 05 năm một lần kể từ năm 2026 khi UBND cấp tỉnh công bố bảng giá đất lần đầu theo quy định của Luật Đất đai năm 2024)</t>
  </si>
  <si>
    <t>Mục đích theo Nghị định 108/2024</t>
  </si>
  <si>
    <t>TRUNG TÂM PHÁT TRIỂN QUỸ ĐẤT TỈNH HÀ TĨNH</t>
  </si>
  <si>
    <t>DANH MỤC NHÀ, ĐẤT GIAO QUẢN LÝ, KHAI THÁC THEO NGHỊ ĐỊNH 108/2024/NĐ-CP KÈM THEO QUYẾT ĐỊNH</t>
  </si>
  <si>
    <t>Nhà làm việc bằng gỗ 3</t>
  </si>
  <si>
    <t xml:space="preserve">Nhà làm việc A1 </t>
  </si>
  <si>
    <t xml:space="preserve">Nhà làm việc A2 </t>
  </si>
  <si>
    <t>3.3</t>
  </si>
  <si>
    <t>Tài sản khác</t>
  </si>
  <si>
    <t>Bể chứa nước</t>
  </si>
  <si>
    <t>Sân vườn, hệ thống thoát nước</t>
  </si>
  <si>
    <t>Thiết bị cổng trượt tự động</t>
  </si>
  <si>
    <t>Hạng mục PCCC</t>
  </si>
  <si>
    <t>Hệ thống PCCC</t>
  </si>
  <si>
    <t>4.3</t>
  </si>
  <si>
    <t>Phòng quản lý thiết bị, cổng phụ</t>
  </si>
  <si>
    <t>Mái che sân kho</t>
  </si>
  <si>
    <t>Trần nội thất</t>
  </si>
  <si>
    <t>Hệ thống PCCC tự động phòng máy chủ</t>
  </si>
  <si>
    <t>Hệ Thống camera quan sát</t>
  </si>
  <si>
    <t>Hệ thống thiết bị an toàn kho tiền</t>
  </si>
  <si>
    <t>Hệ thống chông sét trực tiếp</t>
  </si>
  <si>
    <t>Trạm biến áp 250KV-10/0,4KV</t>
  </si>
  <si>
    <t>Sân, điện chiếu sáng bảo vệ cơ quan</t>
  </si>
  <si>
    <t>Sàn kỷ thuật,hệ thống điện cho phòng máy</t>
  </si>
  <si>
    <t>Nhà công vụ 3</t>
  </si>
  <si>
    <t>1.3</t>
  </si>
  <si>
    <t>Trạm biến áp</t>
  </si>
  <si>
    <t>Tấm đan mương nước</t>
  </si>
  <si>
    <t>Hàng rào B40</t>
  </si>
  <si>
    <t>Hàng rào bao quanh</t>
  </si>
  <si>
    <t> 20.427.732</t>
  </si>
  <si>
    <t xml:space="preserve">Sân đường nội bộ </t>
  </si>
  <si>
    <t>Sân</t>
  </si>
  <si>
    <t>Hệ thống cắt lọc sét</t>
  </si>
  <si>
    <t>Sân khấu hội trường</t>
  </si>
  <si>
    <t>Sử dụng bình thường</t>
  </si>
  <si>
    <t>Ẩ̉m mốc, bong tróc nhiều vị trí</t>
  </si>
  <si>
    <t>Hư hognr một số vị trí</t>
  </si>
  <si>
    <t>không đánh giá đưuọc</t>
  </si>
  <si>
    <t>Trần đổ sập</t>
  </si>
  <si>
    <t>Nhà kho phía sau</t>
  </si>
  <si>
    <t>Điểm a  khoản 1 Điều 1 Nghị định 108/2024</t>
  </si>
  <si>
    <t>Bong tróc nhiều vị trí</t>
  </si>
  <si>
    <t>không còn hoạt động</t>
  </si>
  <si>
    <t>không đánh giá tình trạng sử dụng</t>
  </si>
  <si>
    <t>Ghi chú: Giá trị quyền sử dụng đất đã được cập nhật lại  theođiểm a khoản 1 Điều 99 Nghị định số 186/2025/NĐ-CP ngày 01/7/2025 (Bảng giá đất phê duyệt lần đầu)</t>
  </si>
  <si>
    <t xml:space="preserve">Đã hư hỏng, xuống cấp nghiêm trọng </t>
  </si>
  <si>
    <t>Đặc điểm, hiện trạng nhà</t>
  </si>
  <si>
    <t>Giá đất theo Bảng giá đất</t>
  </si>
  <si>
    <t>Hệ số tiếp giáp mặt đường</t>
  </si>
  <si>
    <t>Giá đất bình quân</t>
  </si>
  <si>
    <t>Hệ số % đơn giá thuê đất</t>
  </si>
  <si>
    <t>Nhà đất</t>
  </si>
  <si>
    <t>Chi phí quản lý, khai thác nhà đất</t>
  </si>
  <si>
    <t>Nộp ngân sách</t>
  </si>
  <si>
    <t>Giá thuê hàng năm (đồng/năm)</t>
  </si>
  <si>
    <t>(9)=(8)*(4)</t>
  </si>
  <si>
    <t>(8)={(6)+(5)*(3)/4}* {100%+(7)}</t>
  </si>
  <si>
    <t>Số TT</t>
  </si>
  <si>
    <r>
      <t xml:space="preserve">Diện tích đất 
</t>
    </r>
    <r>
      <rPr>
        <sz val="12"/>
        <rFont val="Times New Roman"/>
        <family val="1"/>
        <charset val="163"/>
      </rPr>
      <t>(m2)</t>
    </r>
  </si>
  <si>
    <r>
      <t xml:space="preserve">Diện tích sàn sử dụng
</t>
    </r>
    <r>
      <rPr>
        <sz val="12"/>
        <rFont val="Times New Roman"/>
        <family val="1"/>
        <charset val="163"/>
      </rPr>
      <t>(S=m2)</t>
    </r>
  </si>
  <si>
    <r>
      <t xml:space="preserve">Đơn giá thuê đất hàng năm theo quy định pháp luật đất đai
</t>
    </r>
    <r>
      <rPr>
        <sz val="12"/>
        <rFont val="Times New Roman"/>
        <family val="1"/>
        <charset val="163"/>
      </rPr>
      <t>(Gtd=đồng/năm)</t>
    </r>
  </si>
  <si>
    <r>
      <t xml:space="preserve">Mức hao mòn hằng năm </t>
    </r>
    <r>
      <rPr>
        <sz val="12"/>
        <rFont val="Times New Roman"/>
        <family val="1"/>
        <charset val="163"/>
      </rPr>
      <t xml:space="preserve">(Ghm=đồng/năm) </t>
    </r>
  </si>
  <si>
    <r>
      <t xml:space="preserve">Chi phí quản lý, khai thác nhà đất (đồng/năm)
</t>
    </r>
    <r>
      <rPr>
        <sz val="12"/>
        <rFont val="Times New Roman"/>
        <family val="1"/>
        <charset val="163"/>
      </rPr>
      <t>{k=10%}</t>
    </r>
  </si>
  <si>
    <r>
      <t xml:space="preserve">Đơn giá thuê nhà (đồng/m2/năm)
</t>
    </r>
    <r>
      <rPr>
        <sz val="12"/>
        <rFont val="Times New Roman"/>
        <family val="1"/>
        <charset val="163"/>
      </rPr>
      <t>Gt=[(Ghm+Ttd)/S] *(100%+k)</t>
    </r>
  </si>
  <si>
    <t>Chào giá cạnh tranh</t>
  </si>
  <si>
    <t>392.936,1</t>
  </si>
  <si>
    <t>157.960.330</t>
  </si>
  <si>
    <t>Trạm y tế xã Tùng Ảnh</t>
  </si>
  <si>
    <t>PHỤ BIỂU XÁC ĐỊNH ĐƠN GIÁ CHO THUÊ CƠ SỞ NHÀ, ĐẤT TRẠM Y TẾ XÃ TÙNG ẢNH</t>
  </si>
  <si>
    <t>(Kèm theo QĐ số …./QĐ-UBND ngày 21/7/2026)</t>
  </si>
  <si>
    <t>97.227.500</t>
  </si>
  <si>
    <t>1,610,5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</si>
</sst>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_);_(* \(#,##0.00\);_(* &quot;-&quot;??_);_(@_)"/>
    <numFmt numFmtId="164" formatCode="_-* #,##0.00_-;\-* #,##0.00_-;_-* &quot;-&quot;??_-;_-@_-"/>
    <numFmt numFmtId="165" formatCode="_-* #,##0.0_-;\-* #,##0.0_-;_-* &quot;-&quot;??_-;_-@_-"/>
    <numFmt numFmtId="166" formatCode="_-* #,##0_-;\-* #,##0_-;_-* &quot;-&quot;??_-;_-@_-"/>
    <numFmt numFmtId="167" formatCode="_-* #,##0.0\ _₫_-;\-* #,##0.0\ _₫_-;_-* &quot;-&quot;?\ _₫_-;_-@_-"/>
    <numFmt numFmtId="168" formatCode="_-* #,##0.000_-;\-* #,##0.000_-;_-* &quot;-&quot;??_-;_-@_-"/>
    <numFmt numFmtId="169" formatCode="0.0%"/>
    <numFmt numFmtId="170" formatCode="0_ ;\-0\ "/>
    <numFmt numFmtId="171" formatCode="\(#\)"/>
    <numFmt numFmtId="172" formatCode="_(* #,##0.0_);_(* \(#,##0.0\);_(* &quot;-&quot;??_);_(@_)"/>
  </numFmts>
  <fonts count="50" x14ac:knownFonts="1">
    <font>
      <sz val="11"/>
      <color theme="1"/>
      <name val="Calibri"/>
      <family val="2"/>
      <scheme val="minor"/>
    </font>
    <font>
      <sz val="11"/>
      <color theme="1"/>
      <name val="Times New Roman"/>
      <family val="2"/>
      <charset val="163"/>
    </font>
    <font>
      <sz val="11"/>
      <color theme="1"/>
      <name val="Times New Roman"/>
      <family val="2"/>
      <charset val="163"/>
    </font>
    <font>
      <sz val="11"/>
      <color theme="1"/>
      <name val="Times New Roman"/>
      <family val="2"/>
      <charset val="163"/>
    </font>
    <font>
      <sz val="11"/>
      <color theme="1"/>
      <name val="Calibri"/>
      <family val="2"/>
      <scheme val="minor"/>
    </font>
    <font>
      <b/>
      <sz val="10"/>
      <color theme="1"/>
      <name val="Times New Roman"/>
      <family val="1"/>
    </font>
    <font>
      <sz val="10"/>
      <color theme="1"/>
      <name val="Times New Roman"/>
      <family val="1"/>
    </font>
    <font>
      <i/>
      <sz val="10"/>
      <color theme="1"/>
      <name val="Times New Roman"/>
      <family val="1"/>
    </font>
    <font>
      <sz val="10"/>
      <color rgb="FFFF0000"/>
      <name val="Times New Roman"/>
      <family val="1"/>
    </font>
    <font>
      <b/>
      <i/>
      <sz val="10"/>
      <color theme="1"/>
      <name val="Times New Roman"/>
      <family val="1"/>
    </font>
    <font>
      <b/>
      <sz val="10"/>
      <color rgb="FF000000"/>
      <name val="Times New Roman"/>
      <family val="1"/>
    </font>
    <font>
      <sz val="12"/>
      <color rgb="FF000000"/>
      <name val="Times New Roman"/>
      <family val="1"/>
    </font>
    <font>
      <b/>
      <sz val="13"/>
      <color rgb="FF000000"/>
      <name val="Times New Roman"/>
      <family val="1"/>
    </font>
    <font>
      <b/>
      <vertAlign val="superscript"/>
      <sz val="13"/>
      <color rgb="FF000000"/>
      <name val="Times New Roman"/>
      <family val="1"/>
    </font>
    <font>
      <sz val="13"/>
      <color theme="1"/>
      <name val="Times New Roman"/>
      <family val="1"/>
    </font>
    <font>
      <sz val="11"/>
      <color theme="1"/>
      <name val="Times New Roman"/>
      <family val="1"/>
    </font>
    <font>
      <b/>
      <sz val="11"/>
      <color theme="1"/>
      <name val="Times New Roman"/>
      <family val="1"/>
    </font>
    <font>
      <b/>
      <sz val="10"/>
      <color rgb="FFFF0000"/>
      <name val="Times New Roman"/>
      <family val="1"/>
    </font>
    <font>
      <b/>
      <i/>
      <sz val="11"/>
      <color theme="1"/>
      <name val="Times New Roman"/>
      <family val="1"/>
    </font>
    <font>
      <b/>
      <sz val="12"/>
      <color theme="1"/>
      <name val="Times New Roman"/>
      <family val="1"/>
    </font>
    <font>
      <sz val="12"/>
      <color theme="1"/>
      <name val="Times New Roman"/>
      <family val="1"/>
    </font>
    <font>
      <b/>
      <sz val="11"/>
      <color theme="1"/>
      <name val="Times New Roman"/>
      <family val="2"/>
      <charset val="163"/>
    </font>
    <font>
      <sz val="10"/>
      <color rgb="FF000000"/>
      <name val="Times New Roman"/>
      <family val="1"/>
    </font>
    <font>
      <sz val="7"/>
      <name val="Times New Roman"/>
      <family val="1"/>
    </font>
    <font>
      <sz val="7"/>
      <color indexed="8"/>
      <name val="Times New Roman"/>
      <family val="1"/>
    </font>
    <font>
      <sz val="8"/>
      <name val="Calibri"/>
      <family val="2"/>
      <scheme val="minor"/>
    </font>
    <font>
      <sz val="11"/>
      <color rgb="FF000000"/>
      <name val="Times New Roman"/>
      <family val="1"/>
    </font>
    <font>
      <sz val="11"/>
      <color indexed="8"/>
      <name val="Times New Roman"/>
      <family val="1"/>
    </font>
    <font>
      <i/>
      <sz val="11"/>
      <color theme="1"/>
      <name val="Times New Roman"/>
      <family val="1"/>
    </font>
    <font>
      <b/>
      <sz val="11"/>
      <color rgb="FFFF0000"/>
      <name val="Times New Roman"/>
      <family val="1"/>
    </font>
    <font>
      <b/>
      <sz val="11"/>
      <color rgb="FF000000"/>
      <name val="Times New Roman"/>
      <family val="1"/>
    </font>
    <font>
      <sz val="11"/>
      <color rgb="FFFF0000"/>
      <name val="Times New Roman"/>
      <family val="1"/>
    </font>
    <font>
      <b/>
      <sz val="11"/>
      <name val="Times New Roman"/>
      <family val="1"/>
    </font>
    <font>
      <b/>
      <sz val="11"/>
      <color indexed="8"/>
      <name val="Times New Roman"/>
      <family val="1"/>
    </font>
    <font>
      <b/>
      <sz val="12"/>
      <color rgb="FF000000"/>
      <name val="Times New Roman"/>
      <family val="1"/>
      <charset val="163"/>
    </font>
    <font>
      <b/>
      <sz val="13"/>
      <color theme="1"/>
      <name val="Times New Roman"/>
      <family val="1"/>
      <charset val="163"/>
    </font>
    <font>
      <b/>
      <sz val="11"/>
      <color theme="1"/>
      <name val="Calibri"/>
      <family val="2"/>
      <charset val="163"/>
      <scheme val="minor"/>
    </font>
    <font>
      <sz val="11"/>
      <color theme="0"/>
      <name val="Times New Roman"/>
      <family val="2"/>
      <charset val="163"/>
    </font>
    <font>
      <sz val="13"/>
      <color rgb="FF000000"/>
      <name val="Times New Roman"/>
      <family val="1"/>
    </font>
    <font>
      <b/>
      <sz val="13"/>
      <color theme="1"/>
      <name val="Times New Roman"/>
      <family val="1"/>
    </font>
    <font>
      <b/>
      <sz val="13"/>
      <name val="Times New Roman"/>
      <family val="1"/>
    </font>
    <font>
      <sz val="10"/>
      <color rgb="FF0000FF"/>
      <name val="Times New Roman"/>
      <family val="1"/>
    </font>
    <font>
      <sz val="11"/>
      <name val="Times New Roman"/>
      <family val="1"/>
    </font>
    <font>
      <sz val="11"/>
      <color rgb="FF000000"/>
      <name val="Calibri"/>
      <family val="2"/>
    </font>
    <font>
      <b/>
      <sz val="12"/>
      <name val="Times New Roman"/>
      <family val="1"/>
      <charset val="163"/>
    </font>
    <font>
      <sz val="12"/>
      <name val="Times New Roman"/>
      <family val="1"/>
      <charset val="163"/>
    </font>
    <font>
      <i/>
      <sz val="11"/>
      <name val="Times New Roman"/>
      <family val="1"/>
      <charset val="163"/>
    </font>
    <font>
      <b/>
      <sz val="12"/>
      <name val="Times New Roman"/>
      <family val="1"/>
    </font>
    <font>
      <sz val="14"/>
      <name val="Times New Roman"/>
      <family val="1"/>
      <charset val="163"/>
    </font>
    <font>
      <sz val="12"/>
      <name val="Times New Roman"/>
      <family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1">
    <xf numFmtId="0" fontId="0" fillId="0" borderId="0"/>
    <xf numFmtId="164" fontId="4" fillId="0" borderId="0" applyFont="0" applyFill="0" applyBorder="0" applyAlignment="0" applyProtection="0"/>
    <xf numFmtId="0" fontId="3" fillId="0" borderId="0"/>
    <xf numFmtId="164" fontId="3"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2" fillId="0" borderId="0"/>
    <xf numFmtId="164" fontId="2" fillId="0" borderId="0" applyFont="0" applyFill="0" applyBorder="0" applyAlignment="0" applyProtection="0"/>
    <xf numFmtId="164" fontId="1" fillId="0" borderId="0" applyFont="0" applyFill="0" applyBorder="0" applyAlignment="0" applyProtection="0"/>
    <xf numFmtId="0" fontId="43" fillId="0" borderId="0"/>
    <xf numFmtId="43" fontId="4" fillId="0" borderId="0" applyFont="0" applyFill="0" applyBorder="0" applyAlignment="0" applyProtection="0"/>
  </cellStyleXfs>
  <cellXfs count="360">
    <xf numFmtId="0" fontId="0" fillId="0" borderId="0" xfId="0"/>
    <xf numFmtId="0" fontId="5" fillId="0" borderId="1" xfId="0" applyFont="1" applyBorder="1" applyAlignment="1">
      <alignment horizontal="center" vertical="center" wrapText="1"/>
    </xf>
    <xf numFmtId="0" fontId="5" fillId="0" borderId="0" xfId="0" applyFont="1"/>
    <xf numFmtId="0" fontId="6" fillId="0" borderId="0" xfId="0" applyFont="1"/>
    <xf numFmtId="0" fontId="5" fillId="0" borderId="0" xfId="0" applyFont="1" applyAlignment="1">
      <alignment horizontal="centerContinuous"/>
    </xf>
    <xf numFmtId="0" fontId="5" fillId="0" borderId="0" xfId="0" applyFont="1" applyAlignment="1">
      <alignment vertical="center"/>
    </xf>
    <xf numFmtId="165" fontId="6" fillId="0" borderId="1" xfId="1" applyNumberFormat="1" applyFont="1" applyBorder="1" applyAlignment="1">
      <alignment horizontal="right" vertical="center"/>
    </xf>
    <xf numFmtId="166" fontId="6" fillId="0" borderId="1" xfId="1" applyNumberFormat="1" applyFont="1" applyBorder="1" applyAlignment="1">
      <alignment horizontal="right" vertical="center"/>
    </xf>
    <xf numFmtId="3" fontId="6" fillId="0" borderId="1" xfId="0" applyNumberFormat="1" applyFont="1" applyBorder="1" applyAlignment="1">
      <alignment horizontal="right" vertical="center"/>
    </xf>
    <xf numFmtId="165" fontId="6" fillId="0" borderId="0" xfId="1" applyNumberFormat="1" applyFont="1"/>
    <xf numFmtId="167" fontId="6" fillId="0" borderId="0" xfId="0" applyNumberFormat="1" applyFont="1"/>
    <xf numFmtId="164" fontId="6" fillId="0" borderId="0" xfId="1" applyFont="1"/>
    <xf numFmtId="166" fontId="5" fillId="0" borderId="1" xfId="1" applyNumberFormat="1" applyFont="1" applyBorder="1"/>
    <xf numFmtId="0" fontId="5" fillId="0" borderId="1" xfId="0" applyFont="1" applyBorder="1" applyAlignment="1">
      <alignment horizontal="left" vertical="center" wrapText="1"/>
    </xf>
    <xf numFmtId="166" fontId="5" fillId="0" borderId="0" xfId="1" applyNumberFormat="1" applyFont="1"/>
    <xf numFmtId="166" fontId="6" fillId="0" borderId="0" xfId="0" applyNumberFormat="1" applyFont="1"/>
    <xf numFmtId="0" fontId="5" fillId="0" borderId="9"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xf>
    <xf numFmtId="49" fontId="6" fillId="0" borderId="1" xfId="0" applyNumberFormat="1" applyFont="1" applyBorder="1" applyAlignment="1">
      <alignment horizontal="right" vertical="center"/>
    </xf>
    <xf numFmtId="49" fontId="6" fillId="0" borderId="1" xfId="1" applyNumberFormat="1" applyFont="1" applyBorder="1" applyAlignment="1">
      <alignment horizontal="right" vertical="center"/>
    </xf>
    <xf numFmtId="3" fontId="6" fillId="0" borderId="1" xfId="0" applyNumberFormat="1" applyFont="1" applyBorder="1" applyAlignment="1">
      <alignment vertical="center"/>
    </xf>
    <xf numFmtId="166" fontId="6" fillId="0" borderId="1" xfId="1" applyNumberFormat="1" applyFont="1" applyBorder="1" applyAlignment="1">
      <alignment vertical="center"/>
    </xf>
    <xf numFmtId="0" fontId="6" fillId="0" borderId="1" xfId="0" applyFont="1" applyBorder="1" applyAlignment="1">
      <alignment horizont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left" vertical="center" wrapText="1"/>
    </xf>
    <xf numFmtId="0" fontId="12" fillId="2" borderId="1" xfId="2" applyFont="1" applyFill="1" applyBorder="1" applyAlignment="1">
      <alignment horizontal="center" vertical="center" wrapText="1"/>
    </xf>
    <xf numFmtId="0" fontId="3" fillId="0" borderId="0" xfId="2"/>
    <xf numFmtId="166" fontId="12" fillId="2" borderId="1" xfId="3" applyNumberFormat="1" applyFont="1" applyFill="1" applyBorder="1" applyAlignment="1">
      <alignment horizontal="center" vertical="center" wrapText="1"/>
    </xf>
    <xf numFmtId="0" fontId="3" fillId="0" borderId="1" xfId="2" applyBorder="1" applyAlignment="1">
      <alignment horizontal="center" vertical="center" wrapText="1"/>
    </xf>
    <xf numFmtId="0" fontId="3" fillId="0" borderId="1" xfId="2" applyBorder="1" applyAlignment="1">
      <alignment horizontal="left" vertical="center" wrapText="1"/>
    </xf>
    <xf numFmtId="0" fontId="11" fillId="0" borderId="1" xfId="2" applyFont="1" applyBorder="1" applyAlignment="1">
      <alignment horizontal="center" vertical="center" wrapText="1"/>
    </xf>
    <xf numFmtId="0" fontId="3" fillId="0" borderId="9" xfId="2" applyBorder="1" applyAlignment="1">
      <alignment horizontal="center" vertical="center"/>
    </xf>
    <xf numFmtId="0" fontId="14" fillId="0" borderId="1" xfId="2" applyFont="1" applyBorder="1" applyAlignment="1">
      <alignment horizontal="center" vertical="center" wrapText="1"/>
    </xf>
    <xf numFmtId="0" fontId="3" fillId="0" borderId="1" xfId="2" applyBorder="1" applyAlignment="1">
      <alignment horizontal="center" vertical="center"/>
    </xf>
    <xf numFmtId="166" fontId="3" fillId="0" borderId="1" xfId="2" applyNumberFormat="1" applyBorder="1" applyAlignment="1">
      <alignment horizontal="center" vertical="center"/>
    </xf>
    <xf numFmtId="0" fontId="3" fillId="0" borderId="0" xfId="2" applyAlignment="1">
      <alignment horizontal="center" vertical="center"/>
    </xf>
    <xf numFmtId="166" fontId="0" fillId="0" borderId="0" xfId="3" applyNumberFormat="1" applyFont="1" applyAlignment="1">
      <alignment horizontal="center" vertical="center"/>
    </xf>
    <xf numFmtId="0" fontId="3" fillId="0" borderId="0" xfId="2" applyAlignment="1">
      <alignment wrapText="1"/>
    </xf>
    <xf numFmtId="0" fontId="9" fillId="0" borderId="0" xfId="0" applyFont="1"/>
    <xf numFmtId="0" fontId="16" fillId="0" borderId="0" xfId="2" applyFont="1"/>
    <xf numFmtId="165" fontId="3" fillId="0" borderId="1" xfId="1" applyNumberFormat="1" applyFont="1" applyBorder="1" applyAlignment="1">
      <alignment horizontal="center" vertical="center"/>
    </xf>
    <xf numFmtId="0" fontId="18" fillId="0" borderId="0" xfId="2" applyFont="1"/>
    <xf numFmtId="0" fontId="16" fillId="0" borderId="0" xfId="2" applyFont="1" applyAlignment="1">
      <alignment horizontal="center" wrapText="1"/>
    </xf>
    <xf numFmtId="0" fontId="12" fillId="2" borderId="7" xfId="2" applyFont="1" applyFill="1" applyBorder="1" applyAlignment="1">
      <alignment horizontal="center" vertical="center" wrapText="1"/>
    </xf>
    <xf numFmtId="0" fontId="12" fillId="2" borderId="8" xfId="2" applyFont="1" applyFill="1" applyBorder="1" applyAlignment="1">
      <alignment horizontal="center" vertical="center" wrapText="1"/>
    </xf>
    <xf numFmtId="0" fontId="12" fillId="2" borderId="9" xfId="2" applyFont="1" applyFill="1" applyBorder="1" applyAlignment="1">
      <alignment horizontal="center" vertical="center" wrapText="1"/>
    </xf>
    <xf numFmtId="0" fontId="20"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6" fillId="3" borderId="0" xfId="0" applyFont="1" applyFill="1"/>
    <xf numFmtId="166" fontId="6" fillId="3" borderId="0" xfId="1" applyNumberFormat="1" applyFont="1" applyFill="1"/>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0" xfId="0" applyFont="1" applyFill="1" applyAlignment="1">
      <alignment vertical="center"/>
    </xf>
    <xf numFmtId="164" fontId="5" fillId="3" borderId="1" xfId="1" applyFont="1" applyFill="1" applyBorder="1" applyAlignment="1">
      <alignment horizontal="center" vertical="center" wrapText="1"/>
    </xf>
    <xf numFmtId="166" fontId="5" fillId="3" borderId="1" xfId="0" applyNumberFormat="1" applyFont="1" applyFill="1" applyBorder="1" applyAlignment="1">
      <alignment horizontal="center" vertical="center" wrapText="1"/>
    </xf>
    <xf numFmtId="166" fontId="5" fillId="3" borderId="1" xfId="1" applyNumberFormat="1" applyFont="1" applyFill="1" applyBorder="1" applyAlignment="1">
      <alignment vertical="center"/>
    </xf>
    <xf numFmtId="165" fontId="5" fillId="3" borderId="1" xfId="1" applyNumberFormat="1" applyFont="1" applyFill="1" applyBorder="1" applyAlignment="1">
      <alignment horizontal="right" vertical="center"/>
    </xf>
    <xf numFmtId="0" fontId="5" fillId="3" borderId="1" xfId="0" applyFont="1" applyFill="1" applyBorder="1" applyAlignment="1">
      <alignment horizontal="right" vertical="center"/>
    </xf>
    <xf numFmtId="3" fontId="6" fillId="3" borderId="1" xfId="0" applyNumberFormat="1" applyFont="1" applyFill="1" applyBorder="1" applyAlignment="1">
      <alignment horizontal="right" vertical="center"/>
    </xf>
    <xf numFmtId="165" fontId="6" fillId="3" borderId="1" xfId="1" applyNumberFormat="1" applyFont="1" applyFill="1" applyBorder="1" applyAlignment="1">
      <alignment horizontal="right" vertical="center"/>
    </xf>
    <xf numFmtId="166" fontId="5" fillId="3" borderId="1" xfId="1" applyNumberFormat="1" applyFont="1" applyFill="1" applyBorder="1" applyAlignment="1">
      <alignment horizontal="right" vertical="center"/>
    </xf>
    <xf numFmtId="169" fontId="5" fillId="3" borderId="1" xfId="4" applyNumberFormat="1" applyFont="1" applyFill="1" applyBorder="1"/>
    <xf numFmtId="166" fontId="5" fillId="3" borderId="1" xfId="1" applyNumberFormat="1" applyFont="1" applyFill="1" applyBorder="1"/>
    <xf numFmtId="0" fontId="5" fillId="3" borderId="0" xfId="0" applyFont="1" applyFill="1"/>
    <xf numFmtId="0" fontId="6" fillId="3" borderId="1" xfId="0" quotePrefix="1" applyFont="1" applyFill="1" applyBorder="1" applyAlignment="1">
      <alignment horizontal="left" vertical="center"/>
    </xf>
    <xf numFmtId="166" fontId="6" fillId="3" borderId="1" xfId="1" applyNumberFormat="1" applyFont="1" applyFill="1" applyBorder="1" applyAlignment="1">
      <alignment horizontal="right" vertical="center"/>
    </xf>
    <xf numFmtId="166" fontId="6" fillId="3" borderId="1" xfId="1" applyNumberFormat="1" applyFont="1" applyFill="1" applyBorder="1"/>
    <xf numFmtId="166" fontId="6" fillId="3" borderId="1" xfId="0" applyNumberFormat="1" applyFont="1" applyFill="1" applyBorder="1" applyAlignment="1">
      <alignment horizontal="right" vertical="center"/>
    </xf>
    <xf numFmtId="169" fontId="5" fillId="3" borderId="1" xfId="4" applyNumberFormat="1" applyFont="1" applyFill="1" applyBorder="1" applyAlignment="1">
      <alignment vertical="center"/>
    </xf>
    <xf numFmtId="0" fontId="5" fillId="3" borderId="1" xfId="0" applyFont="1" applyFill="1" applyBorder="1" applyAlignment="1">
      <alignment horizontal="left" vertical="center"/>
    </xf>
    <xf numFmtId="0" fontId="15" fillId="3" borderId="1" xfId="0" applyFont="1" applyFill="1" applyBorder="1" applyAlignment="1">
      <alignment vertical="center" wrapText="1"/>
    </xf>
    <xf numFmtId="0" fontId="6" fillId="3" borderId="0" xfId="0" applyFont="1" applyFill="1" applyAlignment="1">
      <alignment horizontal="center" vertical="center"/>
    </xf>
    <xf numFmtId="0" fontId="16" fillId="3" borderId="1" xfId="0" applyFont="1" applyFill="1" applyBorder="1" applyAlignment="1">
      <alignment vertical="center" wrapText="1"/>
    </xf>
    <xf numFmtId="10" fontId="5" fillId="3" borderId="1" xfId="4" applyNumberFormat="1" applyFont="1" applyFill="1" applyBorder="1"/>
    <xf numFmtId="0" fontId="16" fillId="3" borderId="1" xfId="0" applyFont="1" applyFill="1" applyBorder="1" applyAlignment="1">
      <alignment wrapText="1"/>
    </xf>
    <xf numFmtId="4" fontId="24" fillId="3" borderId="1" xfId="0" applyNumberFormat="1" applyFont="1" applyFill="1" applyBorder="1" applyAlignment="1">
      <alignment vertical="center" shrinkToFit="1"/>
    </xf>
    <xf numFmtId="0" fontId="6" fillId="3" borderId="0" xfId="0" quotePrefix="1" applyFont="1" applyFill="1" applyAlignment="1">
      <alignment horizontal="left" vertical="center"/>
    </xf>
    <xf numFmtId="165" fontId="6" fillId="3" borderId="0" xfId="1" applyNumberFormat="1" applyFont="1" applyFill="1" applyBorder="1" applyAlignment="1">
      <alignment horizontal="right" vertical="center"/>
    </xf>
    <xf numFmtId="4" fontId="24" fillId="3" borderId="0" xfId="0" applyNumberFormat="1" applyFont="1" applyFill="1" applyAlignment="1">
      <alignment vertical="center" shrinkToFit="1"/>
    </xf>
    <xf numFmtId="3" fontId="6" fillId="3" borderId="0" xfId="0" applyNumberFormat="1" applyFont="1" applyFill="1" applyAlignment="1">
      <alignment horizontal="right" vertical="center"/>
    </xf>
    <xf numFmtId="166" fontId="6" fillId="3" borderId="0" xfId="1" applyNumberFormat="1" applyFont="1" applyFill="1" applyBorder="1" applyAlignment="1">
      <alignment horizontal="right" vertical="center"/>
    </xf>
    <xf numFmtId="0" fontId="6" fillId="3" borderId="0" xfId="0" quotePrefix="1" applyFont="1" applyFill="1" applyAlignment="1">
      <alignment horizontal="center" vertical="center" wrapText="1"/>
    </xf>
    <xf numFmtId="166" fontId="5" fillId="3" borderId="0" xfId="1" applyNumberFormat="1" applyFont="1" applyFill="1" applyBorder="1"/>
    <xf numFmtId="0" fontId="7" fillId="3" borderId="0" xfId="0" applyFont="1" applyFill="1"/>
    <xf numFmtId="166" fontId="17" fillId="3" borderId="0" xfId="1" applyNumberFormat="1" applyFont="1" applyFill="1"/>
    <xf numFmtId="166" fontId="17" fillId="3" borderId="0" xfId="0" applyNumberFormat="1" applyFont="1" applyFill="1"/>
    <xf numFmtId="165" fontId="6" fillId="3" borderId="0" xfId="1" applyNumberFormat="1" applyFont="1" applyFill="1"/>
    <xf numFmtId="166" fontId="8" fillId="3" borderId="0" xfId="1" applyNumberFormat="1" applyFont="1" applyFill="1"/>
    <xf numFmtId="166" fontId="6" fillId="3" borderId="0" xfId="0" applyNumberFormat="1" applyFont="1" applyFill="1"/>
    <xf numFmtId="167" fontId="6" fillId="3" borderId="0" xfId="0" applyNumberFormat="1" applyFont="1" applyFill="1"/>
    <xf numFmtId="165" fontId="6" fillId="3" borderId="0" xfId="0" applyNumberFormat="1" applyFont="1" applyFill="1"/>
    <xf numFmtId="164" fontId="6" fillId="3" borderId="0" xfId="1" applyFont="1" applyFill="1"/>
    <xf numFmtId="0" fontId="15" fillId="3" borderId="0" xfId="0" applyFont="1" applyFill="1"/>
    <xf numFmtId="166" fontId="15" fillId="3" borderId="0" xfId="1" applyNumberFormat="1" applyFont="1" applyFill="1"/>
    <xf numFmtId="0" fontId="15" fillId="3" borderId="0" xfId="0" applyFont="1" applyFill="1" applyAlignment="1">
      <alignment horizontal="center" vertical="center"/>
    </xf>
    <xf numFmtId="0" fontId="16" fillId="3" borderId="1" xfId="0" applyFont="1" applyFill="1" applyBorder="1" applyAlignment="1">
      <alignment vertical="center"/>
    </xf>
    <xf numFmtId="0" fontId="16" fillId="3" borderId="1"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1" xfId="0" applyFont="1" applyFill="1" applyBorder="1" applyAlignment="1">
      <alignment horizontal="center" vertical="center"/>
    </xf>
    <xf numFmtId="168" fontId="16" fillId="3" borderId="1" xfId="0" applyNumberFormat="1" applyFont="1" applyFill="1" applyBorder="1" applyAlignment="1">
      <alignment horizontal="center" vertical="center" wrapText="1"/>
    </xf>
    <xf numFmtId="166" fontId="16" fillId="3" borderId="1" xfId="1" applyNumberFormat="1" applyFont="1" applyFill="1" applyBorder="1" applyAlignment="1">
      <alignment horizontal="center" vertical="center" wrapText="1"/>
    </xf>
    <xf numFmtId="0" fontId="16" fillId="3" borderId="0" xfId="0" applyFont="1" applyFill="1" applyAlignment="1">
      <alignment vertical="center"/>
    </xf>
    <xf numFmtId="164" fontId="16" fillId="3" borderId="1" xfId="1" applyFont="1" applyFill="1" applyBorder="1" applyAlignment="1">
      <alignment horizontal="center" vertical="center" wrapText="1"/>
    </xf>
    <xf numFmtId="166" fontId="16" fillId="3" borderId="1" xfId="0" applyNumberFormat="1" applyFont="1" applyFill="1" applyBorder="1" applyAlignment="1">
      <alignment horizontal="center" vertical="center" wrapText="1"/>
    </xf>
    <xf numFmtId="166" fontId="16" fillId="3" borderId="1" xfId="1" applyNumberFormat="1" applyFont="1" applyFill="1" applyBorder="1" applyAlignment="1">
      <alignment vertical="center"/>
    </xf>
    <xf numFmtId="0" fontId="15" fillId="3" borderId="1" xfId="0" applyFont="1" applyFill="1" applyBorder="1" applyAlignment="1">
      <alignment horizontal="left" vertical="center" wrapText="1"/>
    </xf>
    <xf numFmtId="165" fontId="16" fillId="3" borderId="1" xfId="1" applyNumberFormat="1" applyFont="1" applyFill="1" applyBorder="1" applyAlignment="1">
      <alignment horizontal="right" vertical="center"/>
    </xf>
    <xf numFmtId="3" fontId="15" fillId="3" borderId="1" xfId="0" applyNumberFormat="1" applyFont="1" applyFill="1" applyBorder="1" applyAlignment="1">
      <alignment horizontal="right" vertical="center"/>
    </xf>
    <xf numFmtId="165" fontId="15" fillId="3" borderId="1" xfId="1" applyNumberFormat="1" applyFont="1" applyFill="1" applyBorder="1" applyAlignment="1">
      <alignment horizontal="right" vertical="center"/>
    </xf>
    <xf numFmtId="166" fontId="16" fillId="3" borderId="1" xfId="1" applyNumberFormat="1" applyFont="1" applyFill="1" applyBorder="1" applyAlignment="1">
      <alignment horizontal="right" vertical="center"/>
    </xf>
    <xf numFmtId="169" fontId="16" fillId="3" borderId="1" xfId="4" applyNumberFormat="1" applyFont="1" applyFill="1" applyBorder="1"/>
    <xf numFmtId="166" fontId="16" fillId="3" borderId="1" xfId="1" applyNumberFormat="1" applyFont="1" applyFill="1" applyBorder="1"/>
    <xf numFmtId="0" fontId="16" fillId="3" borderId="1" xfId="0" applyFont="1" applyFill="1" applyBorder="1"/>
    <xf numFmtId="0" fontId="16" fillId="3" borderId="0" xfId="0" applyFont="1" applyFill="1"/>
    <xf numFmtId="0" fontId="15" fillId="3" borderId="1" xfId="0" quotePrefix="1" applyFont="1" applyFill="1" applyBorder="1" applyAlignment="1">
      <alignment horizontal="left" vertical="center"/>
    </xf>
    <xf numFmtId="166" fontId="15" fillId="3" borderId="1" xfId="1" applyNumberFormat="1" applyFont="1" applyFill="1" applyBorder="1" applyAlignment="1">
      <alignment horizontal="right" vertical="center"/>
    </xf>
    <xf numFmtId="166" fontId="15" fillId="3" borderId="1" xfId="1" applyNumberFormat="1" applyFont="1" applyFill="1" applyBorder="1"/>
    <xf numFmtId="0" fontId="15" fillId="3" borderId="1" xfId="0" applyFont="1" applyFill="1" applyBorder="1"/>
    <xf numFmtId="0" fontId="15" fillId="3" borderId="1" xfId="0" applyFont="1" applyFill="1" applyBorder="1" applyAlignment="1">
      <alignment horizontal="center" vertical="center"/>
    </xf>
    <xf numFmtId="166" fontId="15" fillId="3" borderId="1" xfId="0" applyNumberFormat="1" applyFont="1" applyFill="1" applyBorder="1" applyAlignment="1">
      <alignment horizontal="right" vertical="center"/>
    </xf>
    <xf numFmtId="0" fontId="15" fillId="3" borderId="1" xfId="0" quotePrefix="1" applyFont="1" applyFill="1" applyBorder="1" applyAlignment="1">
      <alignment horizontal="center" vertical="center" wrapText="1"/>
    </xf>
    <xf numFmtId="165" fontId="15" fillId="3" borderId="1" xfId="1" applyNumberFormat="1" applyFont="1" applyFill="1" applyBorder="1"/>
    <xf numFmtId="170" fontId="15" fillId="3" borderId="1" xfId="1" applyNumberFormat="1" applyFont="1" applyFill="1" applyBorder="1"/>
    <xf numFmtId="14" fontId="15" fillId="3" borderId="1" xfId="0" quotePrefix="1" applyNumberFormat="1" applyFont="1" applyFill="1" applyBorder="1" applyAlignment="1">
      <alignment horizontal="center" vertical="center"/>
    </xf>
    <xf numFmtId="14" fontId="15" fillId="3" borderId="1" xfId="0" applyNumberFormat="1" applyFont="1" applyFill="1" applyBorder="1" applyAlignment="1">
      <alignment horizontal="center" vertical="center"/>
    </xf>
    <xf numFmtId="169" fontId="16" fillId="3" borderId="1" xfId="4" applyNumberFormat="1" applyFont="1" applyFill="1" applyBorder="1" applyAlignment="1">
      <alignment horizontal="center" vertical="center"/>
    </xf>
    <xf numFmtId="166" fontId="16" fillId="3" borderId="1" xfId="1" applyNumberFormat="1" applyFont="1" applyFill="1" applyBorder="1" applyAlignment="1">
      <alignment horizontal="center" vertical="center"/>
    </xf>
    <xf numFmtId="3" fontId="16" fillId="3" borderId="1" xfId="0" applyNumberFormat="1" applyFont="1" applyFill="1" applyBorder="1" applyAlignment="1">
      <alignment horizontal="right" vertical="center"/>
    </xf>
    <xf numFmtId="0" fontId="16" fillId="3" borderId="1" xfId="0" quotePrefix="1" applyFont="1" applyFill="1" applyBorder="1" applyAlignment="1">
      <alignment horizontal="center" vertical="center" wrapText="1"/>
    </xf>
    <xf numFmtId="4" fontId="27" fillId="3" borderId="1" xfId="0" applyNumberFormat="1" applyFont="1" applyFill="1" applyBorder="1" applyAlignment="1">
      <alignment vertical="center" shrinkToFit="1"/>
    </xf>
    <xf numFmtId="0" fontId="15" fillId="3" borderId="0" xfId="0" quotePrefix="1" applyFont="1" applyFill="1" applyAlignment="1">
      <alignment horizontal="left" vertical="center"/>
    </xf>
    <xf numFmtId="165" fontId="15" fillId="3" borderId="0" xfId="1" applyNumberFormat="1" applyFont="1" applyFill="1" applyBorder="1" applyAlignment="1">
      <alignment horizontal="right" vertical="center"/>
    </xf>
    <xf numFmtId="4" fontId="27" fillId="3" borderId="0" xfId="0" applyNumberFormat="1" applyFont="1" applyFill="1" applyAlignment="1">
      <alignment vertical="center" shrinkToFit="1"/>
    </xf>
    <xf numFmtId="3" fontId="15" fillId="3" borderId="0" xfId="0" applyNumberFormat="1" applyFont="1" applyFill="1" applyAlignment="1">
      <alignment horizontal="right" vertical="center"/>
    </xf>
    <xf numFmtId="166" fontId="15" fillId="3" borderId="0" xfId="1" applyNumberFormat="1" applyFont="1" applyFill="1" applyBorder="1" applyAlignment="1">
      <alignment horizontal="right" vertical="center"/>
    </xf>
    <xf numFmtId="0" fontId="15" fillId="3" borderId="0" xfId="0" quotePrefix="1" applyFont="1" applyFill="1" applyAlignment="1">
      <alignment horizontal="center" vertical="center" wrapText="1"/>
    </xf>
    <xf numFmtId="166" fontId="16" fillId="3" borderId="0" xfId="1" applyNumberFormat="1" applyFont="1" applyFill="1" applyBorder="1"/>
    <xf numFmtId="0" fontId="28" fillId="3" borderId="0" xfId="0" applyFont="1" applyFill="1"/>
    <xf numFmtId="166" fontId="29" fillId="3" borderId="0" xfId="1" applyNumberFormat="1" applyFont="1" applyFill="1"/>
    <xf numFmtId="166" fontId="29" fillId="3" borderId="0" xfId="0" applyNumberFormat="1" applyFont="1" applyFill="1"/>
    <xf numFmtId="165" fontId="30" fillId="3" borderId="6" xfId="1" applyNumberFormat="1" applyFont="1" applyFill="1" applyBorder="1" applyAlignment="1">
      <alignment horizontal="center" vertical="center"/>
    </xf>
    <xf numFmtId="165" fontId="15" fillId="3" borderId="0" xfId="1" applyNumberFormat="1" applyFont="1" applyFill="1"/>
    <xf numFmtId="166" fontId="31" fillId="3" borderId="0" xfId="1" applyNumberFormat="1" applyFont="1" applyFill="1"/>
    <xf numFmtId="166" fontId="15" fillId="3" borderId="0" xfId="0" applyNumberFormat="1" applyFont="1" applyFill="1"/>
    <xf numFmtId="167" fontId="15" fillId="3" borderId="0" xfId="0" applyNumberFormat="1" applyFont="1" applyFill="1"/>
    <xf numFmtId="165" fontId="15" fillId="3" borderId="0" xfId="0" applyNumberFormat="1" applyFont="1" applyFill="1"/>
    <xf numFmtId="164" fontId="15" fillId="3" borderId="0" xfId="1" applyFont="1" applyFill="1"/>
    <xf numFmtId="0" fontId="16" fillId="3" borderId="1" xfId="0" quotePrefix="1" applyFont="1" applyFill="1" applyBorder="1" applyAlignment="1">
      <alignment horizontal="left" vertical="center"/>
    </xf>
    <xf numFmtId="0" fontId="16" fillId="3" borderId="1" xfId="0" quotePrefix="1" applyFont="1" applyFill="1" applyBorder="1" applyAlignment="1">
      <alignment horizontal="center" vertical="center"/>
    </xf>
    <xf numFmtId="165" fontId="16" fillId="3" borderId="1" xfId="1" applyNumberFormat="1" applyFont="1" applyFill="1" applyBorder="1" applyAlignment="1">
      <alignment horizontal="center" vertical="center"/>
    </xf>
    <xf numFmtId="3" fontId="16" fillId="3" borderId="1" xfId="0" applyNumberFormat="1" applyFont="1" applyFill="1" applyBorder="1" applyAlignment="1">
      <alignment horizontal="center" vertical="center"/>
    </xf>
    <xf numFmtId="166" fontId="16" fillId="3" borderId="1" xfId="0" applyNumberFormat="1" applyFont="1" applyFill="1" applyBorder="1" applyAlignment="1">
      <alignment horizontal="right" vertical="center"/>
    </xf>
    <xf numFmtId="165" fontId="16" fillId="3" borderId="1" xfId="1" applyNumberFormat="1" applyFont="1" applyFill="1" applyBorder="1"/>
    <xf numFmtId="43" fontId="32" fillId="3" borderId="1" xfId="3" applyNumberFormat="1" applyFont="1" applyFill="1" applyBorder="1" applyAlignment="1">
      <alignment vertical="center" shrinkToFit="1"/>
    </xf>
    <xf numFmtId="4" fontId="33" fillId="3" borderId="1" xfId="0" applyNumberFormat="1" applyFont="1" applyFill="1" applyBorder="1" applyAlignment="1">
      <alignment vertical="center" shrinkToFit="1"/>
    </xf>
    <xf numFmtId="0" fontId="21" fillId="0" borderId="1" xfId="2" applyFont="1" applyBorder="1" applyAlignment="1">
      <alignment horizontal="center" vertical="center" wrapText="1"/>
    </xf>
    <xf numFmtId="0" fontId="21" fillId="0" borderId="1" xfId="2" applyFont="1" applyBorder="1" applyAlignment="1">
      <alignment horizontal="left" vertical="center" wrapText="1"/>
    </xf>
    <xf numFmtId="0" fontId="34" fillId="0" borderId="1" xfId="2" applyFont="1" applyBorder="1" applyAlignment="1">
      <alignment horizontal="center" vertical="center" wrapText="1"/>
    </xf>
    <xf numFmtId="0" fontId="21" fillId="0" borderId="9" xfId="2" applyFont="1" applyBorder="1" applyAlignment="1">
      <alignment horizontal="center" vertical="center"/>
    </xf>
    <xf numFmtId="0" fontId="35" fillId="0" borderId="1" xfId="2" applyFont="1" applyBorder="1" applyAlignment="1">
      <alignment horizontal="center" vertical="center" wrapText="1"/>
    </xf>
    <xf numFmtId="165" fontId="21" fillId="0" borderId="1" xfId="1" applyNumberFormat="1" applyFont="1" applyBorder="1" applyAlignment="1">
      <alignment horizontal="center" vertical="center"/>
    </xf>
    <xf numFmtId="0" fontId="21" fillId="0" borderId="0" xfId="2" applyFont="1" applyAlignment="1">
      <alignment horizontal="center" vertical="center"/>
    </xf>
    <xf numFmtId="166" fontId="36" fillId="0" borderId="0" xfId="3" applyNumberFormat="1" applyFont="1" applyAlignment="1">
      <alignment horizontal="center" vertical="center"/>
    </xf>
    <xf numFmtId="0" fontId="16" fillId="0" borderId="1" xfId="2" applyFont="1" applyBorder="1" applyAlignment="1">
      <alignment horizontal="center" vertical="center" wrapText="1"/>
    </xf>
    <xf numFmtId="0" fontId="26" fillId="3" borderId="1" xfId="0" applyFont="1" applyFill="1" applyBorder="1" applyAlignment="1">
      <alignment horizontal="center" vertical="center" wrapText="1"/>
    </xf>
    <xf numFmtId="0" fontId="30" fillId="3" borderId="1" xfId="0" applyFont="1" applyFill="1" applyBorder="1" applyAlignment="1">
      <alignment horizontal="center" vertical="center" wrapText="1"/>
    </xf>
    <xf numFmtId="170" fontId="15" fillId="3" borderId="1" xfId="1" applyNumberFormat="1" applyFont="1" applyFill="1" applyBorder="1" applyAlignment="1">
      <alignment horizontal="center" vertical="center"/>
    </xf>
    <xf numFmtId="166" fontId="16" fillId="3" borderId="0" xfId="1" applyNumberFormat="1" applyFont="1" applyFill="1" applyBorder="1" applyAlignment="1">
      <alignment horizontal="center" vertical="center"/>
    </xf>
    <xf numFmtId="166" fontId="29" fillId="3" borderId="0" xfId="1" applyNumberFormat="1" applyFont="1" applyFill="1" applyAlignment="1">
      <alignment horizontal="center" vertical="center"/>
    </xf>
    <xf numFmtId="166" fontId="15" fillId="3" borderId="0" xfId="0" applyNumberFormat="1" applyFont="1" applyFill="1" applyAlignment="1">
      <alignment horizontal="center" vertical="center"/>
    </xf>
    <xf numFmtId="166" fontId="15" fillId="3" borderId="0" xfId="1" applyNumberFormat="1" applyFont="1" applyFill="1" applyAlignment="1">
      <alignment horizontal="center" vertical="center"/>
    </xf>
    <xf numFmtId="165" fontId="5" fillId="0" borderId="3" xfId="0" applyNumberFormat="1" applyFont="1" applyBorder="1" applyAlignment="1">
      <alignment horizontal="center" vertical="center" wrapText="1"/>
    </xf>
    <xf numFmtId="0" fontId="15" fillId="0" borderId="1" xfId="2" applyFont="1" applyBorder="1" applyAlignment="1">
      <alignment horizontal="center" vertical="center" wrapText="1"/>
    </xf>
    <xf numFmtId="0" fontId="15" fillId="0" borderId="1" xfId="2" applyFont="1" applyBorder="1" applyAlignment="1">
      <alignment horizontal="left" vertical="center" wrapText="1"/>
    </xf>
    <xf numFmtId="166" fontId="15" fillId="0" borderId="1" xfId="7" applyNumberFormat="1" applyFont="1" applyBorder="1" applyAlignment="1">
      <alignment horizontal="right" vertical="center"/>
    </xf>
    <xf numFmtId="3" fontId="15" fillId="0" borderId="1" xfId="6" applyNumberFormat="1" applyFont="1" applyBorder="1" applyAlignment="1">
      <alignment horizontal="right" vertical="center"/>
    </xf>
    <xf numFmtId="166" fontId="3" fillId="0" borderId="1" xfId="1" applyNumberFormat="1" applyFont="1" applyBorder="1" applyAlignment="1">
      <alignment horizontal="center" vertical="center"/>
    </xf>
    <xf numFmtId="0" fontId="5" fillId="3" borderId="0" xfId="0" applyFont="1" applyFill="1" applyAlignment="1">
      <alignment horizontal="centerContinuous"/>
    </xf>
    <xf numFmtId="0" fontId="6" fillId="3" borderId="0" xfId="0" applyFont="1" applyFill="1" applyAlignment="1">
      <alignment horizontal="center"/>
    </xf>
    <xf numFmtId="0" fontId="5" fillId="3" borderId="0" xfId="0" applyFont="1" applyFill="1" applyAlignment="1">
      <alignment horizontal="center" vertical="center" wrapText="1"/>
    </xf>
    <xf numFmtId="166" fontId="5" fillId="3" borderId="0" xfId="1" applyNumberFormat="1" applyFont="1" applyFill="1"/>
    <xf numFmtId="168" fontId="5" fillId="3" borderId="0" xfId="0" applyNumberFormat="1" applyFont="1" applyFill="1" applyAlignment="1">
      <alignment horizontal="center" vertical="center" wrapText="1"/>
    </xf>
    <xf numFmtId="166" fontId="5" fillId="3" borderId="0" xfId="1" applyNumberFormat="1" applyFont="1" applyFill="1" applyAlignment="1">
      <alignment vertical="center"/>
    </xf>
    <xf numFmtId="0" fontId="5" fillId="3" borderId="4" xfId="0" applyFont="1" applyFill="1" applyBorder="1" applyAlignment="1">
      <alignment horizontal="center" vertical="center"/>
    </xf>
    <xf numFmtId="166" fontId="5" fillId="3" borderId="0" xfId="0" applyNumberFormat="1" applyFont="1" applyFill="1"/>
    <xf numFmtId="166" fontId="5" fillId="3" borderId="0" xfId="1" applyNumberFormat="1" applyFont="1" applyFill="1" applyBorder="1" applyAlignment="1">
      <alignment vertical="center"/>
    </xf>
    <xf numFmtId="166" fontId="6" fillId="3" borderId="0" xfId="1" applyNumberFormat="1" applyFont="1" applyFill="1" applyBorder="1"/>
    <xf numFmtId="0" fontId="22" fillId="3" borderId="10" xfId="0" applyFont="1" applyFill="1" applyBorder="1" applyAlignment="1">
      <alignment vertical="center" wrapText="1"/>
    </xf>
    <xf numFmtId="43" fontId="23" fillId="3" borderId="2" xfId="3" applyNumberFormat="1" applyFont="1" applyFill="1" applyBorder="1" applyAlignment="1">
      <alignment vertical="center" shrinkToFit="1"/>
    </xf>
    <xf numFmtId="43" fontId="23" fillId="3" borderId="3" xfId="3" applyNumberFormat="1" applyFont="1" applyFill="1" applyBorder="1" applyAlignment="1">
      <alignment vertical="center" shrinkToFit="1"/>
    </xf>
    <xf numFmtId="165" fontId="10" fillId="3" borderId="0" xfId="1" applyNumberFormat="1" applyFont="1" applyFill="1" applyBorder="1" applyAlignment="1">
      <alignment horizontal="center" vertical="center"/>
    </xf>
    <xf numFmtId="0" fontId="15" fillId="3" borderId="1" xfId="0" applyFont="1" applyFill="1" applyBorder="1" applyAlignment="1">
      <alignment wrapText="1"/>
    </xf>
    <xf numFmtId="0" fontId="37" fillId="0" borderId="0" xfId="2" applyFont="1" applyAlignment="1">
      <alignment wrapText="1"/>
    </xf>
    <xf numFmtId="0" fontId="37" fillId="0" borderId="0" xfId="2" quotePrefix="1" applyFont="1"/>
    <xf numFmtId="0" fontId="37" fillId="0" borderId="0" xfId="2" applyFont="1"/>
    <xf numFmtId="0" fontId="37" fillId="0" borderId="0" xfId="2" quotePrefix="1" applyFont="1" applyAlignment="1">
      <alignment horizontal="left" wrapText="1"/>
    </xf>
    <xf numFmtId="0" fontId="7" fillId="0" borderId="0" xfId="0" applyFont="1" applyAlignment="1">
      <alignment horizontal="center" vertical="center"/>
    </xf>
    <xf numFmtId="0" fontId="6" fillId="0" borderId="0" xfId="0" applyFont="1" applyAlignment="1">
      <alignment horizontal="center" vertical="center"/>
    </xf>
    <xf numFmtId="166" fontId="3" fillId="0" borderId="0" xfId="2" applyNumberFormat="1"/>
    <xf numFmtId="166" fontId="21" fillId="0" borderId="1" xfId="1" applyNumberFormat="1" applyFont="1" applyBorder="1" applyAlignment="1">
      <alignment horizontal="center" vertical="center"/>
    </xf>
    <xf numFmtId="0" fontId="14" fillId="0" borderId="1" xfId="2" applyFont="1" applyBorder="1" applyAlignment="1">
      <alignment horizontal="left" vertical="center" wrapText="1"/>
    </xf>
    <xf numFmtId="0" fontId="38" fillId="0" borderId="1" xfId="2" applyFont="1" applyBorder="1" applyAlignment="1">
      <alignment horizontal="center" vertical="center" wrapText="1"/>
    </xf>
    <xf numFmtId="0" fontId="14" fillId="0" borderId="9" xfId="2" applyFont="1" applyBorder="1" applyAlignment="1">
      <alignment horizontal="center" vertical="center"/>
    </xf>
    <xf numFmtId="0" fontId="14" fillId="0" borderId="1" xfId="2" applyFont="1" applyBorder="1" applyAlignment="1">
      <alignment horizontal="center" vertical="center"/>
    </xf>
    <xf numFmtId="165" fontId="14" fillId="0" borderId="1" xfId="1" applyNumberFormat="1" applyFont="1" applyBorder="1" applyAlignment="1">
      <alignment horizontal="center" vertical="center"/>
    </xf>
    <xf numFmtId="0" fontId="39" fillId="0" borderId="1" xfId="2" applyFont="1" applyBorder="1" applyAlignment="1">
      <alignment horizontal="center" vertical="center" wrapText="1"/>
    </xf>
    <xf numFmtId="0" fontId="39" fillId="0" borderId="9" xfId="2" applyFont="1" applyBorder="1" applyAlignment="1">
      <alignment horizontal="center" vertical="center"/>
    </xf>
    <xf numFmtId="165" fontId="39" fillId="0" borderId="1" xfId="1" applyNumberFormat="1" applyFont="1" applyBorder="1" applyAlignment="1">
      <alignment horizontal="center" vertical="center"/>
    </xf>
    <xf numFmtId="0" fontId="14" fillId="3" borderId="1" xfId="0" applyFont="1" applyFill="1" applyBorder="1" applyAlignment="1">
      <alignment horizontal="left" vertical="center" wrapText="1"/>
    </xf>
    <xf numFmtId="0" fontId="14" fillId="3" borderId="1" xfId="0" applyFont="1" applyFill="1" applyBorder="1" applyAlignment="1">
      <alignment vertical="center" wrapText="1"/>
    </xf>
    <xf numFmtId="0" fontId="16" fillId="3" borderId="0" xfId="0" applyFont="1" applyFill="1" applyAlignment="1">
      <alignment horizontal="left"/>
    </xf>
    <xf numFmtId="1" fontId="15" fillId="3" borderId="0" xfId="0" applyNumberFormat="1" applyFont="1" applyFill="1" applyAlignment="1">
      <alignment horizontal="center" vertical="center"/>
    </xf>
    <xf numFmtId="1" fontId="16" fillId="3" borderId="1" xfId="0" applyNumberFormat="1" applyFont="1" applyFill="1" applyBorder="1" applyAlignment="1">
      <alignment horizontal="center" vertical="center" wrapText="1"/>
    </xf>
    <xf numFmtId="1" fontId="16" fillId="3" borderId="1" xfId="1" applyNumberFormat="1" applyFont="1" applyFill="1" applyBorder="1" applyAlignment="1">
      <alignment horizontal="center" vertical="center"/>
    </xf>
    <xf numFmtId="1" fontId="26" fillId="3" borderId="1" xfId="0" applyNumberFormat="1" applyFont="1" applyFill="1" applyBorder="1" applyAlignment="1">
      <alignment horizontal="center" vertical="center" wrapText="1"/>
    </xf>
    <xf numFmtId="1" fontId="15" fillId="3" borderId="1" xfId="1" applyNumberFormat="1" applyFont="1" applyFill="1" applyBorder="1" applyAlignment="1">
      <alignment horizontal="center" vertical="center"/>
    </xf>
    <xf numFmtId="1" fontId="29" fillId="3" borderId="0" xfId="1" applyNumberFormat="1" applyFont="1" applyFill="1" applyAlignment="1">
      <alignment horizontal="center" vertical="center"/>
    </xf>
    <xf numFmtId="1" fontId="15" fillId="3" borderId="0" xfId="1" applyNumberFormat="1" applyFont="1" applyFill="1" applyAlignment="1">
      <alignment horizontal="center" vertical="center"/>
    </xf>
    <xf numFmtId="0" fontId="15" fillId="3" borderId="1" xfId="0" applyFont="1" applyFill="1" applyBorder="1" applyAlignment="1">
      <alignment vertical="center"/>
    </xf>
    <xf numFmtId="0" fontId="15" fillId="3" borderId="1" xfId="0" applyFont="1" applyFill="1" applyBorder="1" applyAlignment="1">
      <alignment horizontal="center" vertical="center" wrapText="1"/>
    </xf>
    <xf numFmtId="1" fontId="15" fillId="3" borderId="1" xfId="0" applyNumberFormat="1" applyFont="1" applyFill="1" applyBorder="1" applyAlignment="1">
      <alignment horizontal="center" vertical="center" wrapText="1"/>
    </xf>
    <xf numFmtId="164" fontId="15" fillId="3" borderId="1" xfId="1" applyFont="1" applyFill="1" applyBorder="1" applyAlignment="1">
      <alignment horizontal="center" vertical="center" wrapText="1"/>
    </xf>
    <xf numFmtId="166" fontId="15" fillId="3" borderId="1" xfId="0" applyNumberFormat="1" applyFont="1" applyFill="1" applyBorder="1" applyAlignment="1">
      <alignment horizontal="center" vertical="center" wrapText="1"/>
    </xf>
    <xf numFmtId="166" fontId="15" fillId="3" borderId="1" xfId="1" applyNumberFormat="1" applyFont="1" applyFill="1" applyBorder="1" applyAlignment="1">
      <alignment vertical="center"/>
    </xf>
    <xf numFmtId="0" fontId="15" fillId="3" borderId="1" xfId="0" quotePrefix="1" applyFont="1" applyFill="1" applyBorder="1" applyAlignment="1">
      <alignment horizontal="center" vertical="center"/>
    </xf>
    <xf numFmtId="165" fontId="15" fillId="3" borderId="1" xfId="1" applyNumberFormat="1" applyFont="1" applyFill="1" applyBorder="1" applyAlignment="1">
      <alignment horizontal="center" vertical="center"/>
    </xf>
    <xf numFmtId="3" fontId="15" fillId="3" borderId="1" xfId="0" applyNumberFormat="1" applyFont="1" applyFill="1" applyBorder="1" applyAlignment="1">
      <alignment horizontal="center" vertical="center"/>
    </xf>
    <xf numFmtId="166" fontId="15" fillId="3" borderId="1" xfId="1" applyNumberFormat="1" applyFont="1" applyFill="1" applyBorder="1" applyAlignment="1">
      <alignment horizontal="center" vertical="center"/>
    </xf>
    <xf numFmtId="169" fontId="15" fillId="3" borderId="1" xfId="4" applyNumberFormat="1" applyFont="1" applyFill="1" applyBorder="1" applyAlignment="1">
      <alignment horizontal="center" vertical="center"/>
    </xf>
    <xf numFmtId="166" fontId="15" fillId="3" borderId="1" xfId="0" applyNumberFormat="1" applyFont="1" applyFill="1" applyBorder="1" applyAlignment="1">
      <alignment horizontal="center" vertical="center"/>
    </xf>
    <xf numFmtId="43" fontId="42" fillId="3" borderId="1" xfId="3" applyNumberFormat="1" applyFont="1" applyFill="1" applyBorder="1" applyAlignment="1">
      <alignment horizontal="center" vertical="center" shrinkToFit="1"/>
    </xf>
    <xf numFmtId="10" fontId="15" fillId="3" borderId="1" xfId="4" applyNumberFormat="1" applyFont="1" applyFill="1" applyBorder="1" applyAlignment="1">
      <alignment horizontal="center" vertical="center"/>
    </xf>
    <xf numFmtId="0" fontId="5" fillId="3" borderId="2" xfId="0" applyFont="1" applyFill="1" applyBorder="1" applyAlignment="1">
      <alignment horizontal="center" vertical="center" wrapText="1"/>
    </xf>
    <xf numFmtId="0" fontId="6" fillId="3" borderId="0" xfId="0" applyFont="1" applyFill="1" applyAlignment="1">
      <alignment horizontal="centerContinuous" vertical="center"/>
    </xf>
    <xf numFmtId="0" fontId="6" fillId="3" borderId="0" xfId="0" applyFont="1" applyFill="1" applyAlignment="1">
      <alignment horizontal="centerContinuous"/>
    </xf>
    <xf numFmtId="43" fontId="23" fillId="3" borderId="2" xfId="8" applyNumberFormat="1" applyFont="1" applyFill="1" applyBorder="1" applyAlignment="1">
      <alignment vertical="center" shrinkToFit="1"/>
    </xf>
    <xf numFmtId="43" fontId="23" fillId="3" borderId="3" xfId="8" applyNumberFormat="1" applyFont="1" applyFill="1" applyBorder="1" applyAlignment="1">
      <alignment vertical="center" shrinkToFit="1"/>
    </xf>
    <xf numFmtId="0" fontId="28" fillId="3" borderId="0" xfId="0" applyFont="1" applyFill="1" applyAlignment="1">
      <alignment horizontal="center" vertical="center"/>
    </xf>
    <xf numFmtId="165" fontId="16" fillId="3" borderId="1" xfId="1" applyNumberFormat="1" applyFont="1" applyFill="1" applyBorder="1" applyAlignment="1">
      <alignment horizontal="center" vertical="center" wrapText="1"/>
    </xf>
    <xf numFmtId="165" fontId="16" fillId="3" borderId="1" xfId="1" applyNumberFormat="1" applyFont="1" applyFill="1" applyBorder="1" applyAlignment="1">
      <alignment vertical="center"/>
    </xf>
    <xf numFmtId="165" fontId="29" fillId="3" borderId="0" xfId="1" applyNumberFormat="1" applyFont="1" applyFill="1"/>
    <xf numFmtId="0" fontId="16" fillId="3" borderId="2" xfId="0" quotePrefix="1" applyFont="1" applyFill="1" applyBorder="1" applyAlignment="1">
      <alignment horizontal="center" vertical="center" wrapText="1"/>
    </xf>
    <xf numFmtId="0" fontId="15" fillId="3" borderId="1" xfId="0" quotePrefix="1" applyFont="1" applyFill="1" applyBorder="1" applyAlignment="1">
      <alignment horizontal="left" vertical="center" wrapText="1"/>
    </xf>
    <xf numFmtId="0" fontId="16" fillId="3" borderId="0" xfId="0" applyFont="1" applyFill="1" applyAlignment="1">
      <alignment horizontal="center" vertical="center" wrapText="1"/>
    </xf>
    <xf numFmtId="0" fontId="22" fillId="0" borderId="1" xfId="0" applyFont="1" applyBorder="1"/>
    <xf numFmtId="3" fontId="22" fillId="0" borderId="1" xfId="0" applyNumberFormat="1" applyFont="1" applyBorder="1"/>
    <xf numFmtId="0" fontId="22" fillId="0" borderId="1" xfId="0" applyFont="1" applyBorder="1" applyAlignment="1">
      <alignment vertical="center" wrapText="1"/>
    </xf>
    <xf numFmtId="3" fontId="22" fillId="0" borderId="1" xfId="0" applyNumberFormat="1" applyFont="1" applyBorder="1" applyAlignment="1">
      <alignment horizontal="right" vertical="center" wrapText="1"/>
    </xf>
    <xf numFmtId="0" fontId="22" fillId="0" borderId="1" xfId="0" applyFont="1" applyBorder="1" applyAlignment="1">
      <alignment horizontal="right" vertical="center" wrapText="1"/>
    </xf>
    <xf numFmtId="170" fontId="16" fillId="3" borderId="1" xfId="1" applyNumberFormat="1" applyFont="1" applyFill="1" applyBorder="1"/>
    <xf numFmtId="0" fontId="15" fillId="3" borderId="0" xfId="0" applyFont="1" applyFill="1" applyAlignment="1">
      <alignment horizontal="center" vertical="center" wrapText="1"/>
    </xf>
    <xf numFmtId="14" fontId="15" fillId="3" borderId="1" xfId="0" applyNumberFormat="1" applyFont="1" applyFill="1" applyBorder="1" applyAlignment="1">
      <alignment horizontal="center" vertical="center" wrapText="1"/>
    </xf>
    <xf numFmtId="0" fontId="15" fillId="3" borderId="0" xfId="0" applyFont="1" applyFill="1" applyAlignment="1">
      <alignment vertical="center"/>
    </xf>
    <xf numFmtId="0" fontId="41" fillId="0" borderId="0" xfId="0" applyFont="1" applyAlignment="1">
      <alignment vertical="center" wrapText="1"/>
    </xf>
    <xf numFmtId="0" fontId="45" fillId="0" borderId="0" xfId="0" applyFont="1" applyFill="1"/>
    <xf numFmtId="166" fontId="45" fillId="0" borderId="0" xfId="1" applyNumberFormat="1" applyFont="1" applyFill="1"/>
    <xf numFmtId="0" fontId="44" fillId="0" borderId="8" xfId="0" applyFont="1" applyFill="1" applyBorder="1" applyAlignment="1">
      <alignment vertical="center"/>
    </xf>
    <xf numFmtId="166" fontId="45" fillId="0" borderId="1" xfId="1" applyNumberFormat="1" applyFont="1" applyFill="1" applyBorder="1" applyAlignment="1">
      <alignment wrapText="1"/>
    </xf>
    <xf numFmtId="166" fontId="45" fillId="0" borderId="1" xfId="1" applyNumberFormat="1" applyFont="1" applyFill="1" applyBorder="1"/>
    <xf numFmtId="171" fontId="46" fillId="0" borderId="1" xfId="0" applyNumberFormat="1" applyFont="1" applyFill="1" applyBorder="1" applyAlignment="1">
      <alignment horizontal="center" vertical="center"/>
    </xf>
    <xf numFmtId="171" fontId="46" fillId="0" borderId="1" xfId="1" applyNumberFormat="1" applyFont="1" applyFill="1" applyBorder="1" applyAlignment="1">
      <alignment horizontal="center" vertical="center" wrapText="1"/>
    </xf>
    <xf numFmtId="171" fontId="46" fillId="0" borderId="1" xfId="0" applyNumberFormat="1" applyFont="1" applyFill="1" applyBorder="1" applyAlignment="1">
      <alignment horizontal="center" vertical="center" wrapText="1"/>
    </xf>
    <xf numFmtId="0" fontId="46" fillId="0" borderId="1" xfId="0" applyFont="1" applyFill="1" applyBorder="1" applyAlignment="1">
      <alignment horizontal="center" vertical="center"/>
    </xf>
    <xf numFmtId="166" fontId="46" fillId="0" borderId="1" xfId="1" applyNumberFormat="1" applyFont="1" applyFill="1" applyBorder="1" applyAlignment="1">
      <alignment horizontal="center" vertical="center"/>
    </xf>
    <xf numFmtId="0" fontId="46" fillId="0" borderId="0" xfId="0" applyFont="1" applyFill="1" applyAlignment="1">
      <alignment horizontal="center" vertical="center"/>
    </xf>
    <xf numFmtId="0" fontId="45" fillId="0" borderId="1" xfId="0" applyFont="1" applyFill="1" applyBorder="1" applyAlignment="1">
      <alignment vertical="center"/>
    </xf>
    <xf numFmtId="166" fontId="45" fillId="0" borderId="1" xfId="0" applyNumberFormat="1" applyFont="1" applyFill="1" applyBorder="1" applyAlignment="1">
      <alignment vertical="center"/>
    </xf>
    <xf numFmtId="167" fontId="45" fillId="0" borderId="0" xfId="0" applyNumberFormat="1" applyFont="1" applyFill="1"/>
    <xf numFmtId="0" fontId="45" fillId="0" borderId="0" xfId="0" applyFont="1" applyFill="1" applyAlignment="1">
      <alignment horizontal="center" vertical="center"/>
    </xf>
    <xf numFmtId="165" fontId="45" fillId="0" borderId="0" xfId="1" applyNumberFormat="1" applyFont="1" applyFill="1" applyBorder="1"/>
    <xf numFmtId="166" fontId="45" fillId="0" borderId="0" xfId="1" applyNumberFormat="1" applyFont="1" applyFill="1" applyBorder="1"/>
    <xf numFmtId="0" fontId="45" fillId="0" borderId="0" xfId="0" applyFont="1" applyFill="1" applyAlignment="1">
      <alignment vertical="center"/>
    </xf>
    <xf numFmtId="0" fontId="47" fillId="0" borderId="1" xfId="0" applyFont="1" applyFill="1" applyBorder="1" applyAlignment="1">
      <alignment horizontal="center" vertical="center"/>
    </xf>
    <xf numFmtId="0" fontId="45" fillId="0" borderId="1" xfId="0" applyFont="1" applyFill="1" applyBorder="1" applyAlignment="1">
      <alignment horizontal="center" vertical="center"/>
    </xf>
    <xf numFmtId="0" fontId="48" fillId="0" borderId="1" xfId="0" applyFont="1" applyFill="1" applyBorder="1" applyAlignment="1">
      <alignment vertical="center" wrapText="1"/>
    </xf>
    <xf numFmtId="49" fontId="44" fillId="0" borderId="1" xfId="0" applyNumberFormat="1" applyFont="1" applyFill="1" applyBorder="1" applyAlignment="1">
      <alignment horizontal="center" vertical="center" wrapText="1"/>
    </xf>
    <xf numFmtId="0" fontId="47" fillId="0" borderId="1" xfId="0" applyFont="1" applyFill="1" applyBorder="1" applyAlignment="1">
      <alignment horizontal="right" vertical="center"/>
    </xf>
    <xf numFmtId="165" fontId="47" fillId="0" borderId="1" xfId="1" applyNumberFormat="1" applyFont="1" applyFill="1" applyBorder="1" applyAlignment="1">
      <alignment horizontal="right" vertical="center"/>
    </xf>
    <xf numFmtId="166" fontId="47" fillId="0" borderId="1" xfId="1" applyNumberFormat="1" applyFont="1" applyFill="1" applyBorder="1" applyAlignment="1">
      <alignment horizontal="right" vertical="center"/>
    </xf>
    <xf numFmtId="0" fontId="16" fillId="3" borderId="1" xfId="0" applyFont="1" applyFill="1" applyBorder="1" applyAlignment="1">
      <alignment horizontal="center" vertical="center"/>
    </xf>
    <xf numFmtId="0" fontId="16" fillId="3" borderId="0" xfId="0" applyFont="1" applyFill="1" applyAlignment="1">
      <alignment horizontal="left"/>
    </xf>
    <xf numFmtId="0" fontId="16" fillId="3" borderId="0" xfId="0" applyFont="1" applyFill="1" applyAlignment="1">
      <alignment horizontal="center"/>
    </xf>
    <xf numFmtId="0" fontId="16" fillId="3" borderId="12"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16" fillId="3" borderId="0" xfId="0" applyFont="1" applyFill="1" applyAlignment="1">
      <alignment horizontal="center" vertical="center" wrapText="1"/>
    </xf>
    <xf numFmtId="0" fontId="16" fillId="3" borderId="15" xfId="0" applyFont="1" applyFill="1" applyBorder="1" applyAlignment="1">
      <alignment horizontal="center" vertical="center" wrapText="1"/>
    </xf>
    <xf numFmtId="0" fontId="16" fillId="3" borderId="16"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16" fillId="3" borderId="7" xfId="0" applyFont="1" applyFill="1" applyBorder="1" applyAlignment="1">
      <alignment horizontal="left" vertical="center" wrapText="1"/>
    </xf>
    <xf numFmtId="0" fontId="16" fillId="3" borderId="8" xfId="0" applyFont="1" applyFill="1" applyBorder="1" applyAlignment="1">
      <alignment horizontal="left" vertical="center" wrapText="1"/>
    </xf>
    <xf numFmtId="0" fontId="16" fillId="3" borderId="9" xfId="0" applyFont="1" applyFill="1"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41" fillId="0" borderId="2" xfId="0" applyFont="1" applyBorder="1" applyAlignment="1">
      <alignment horizontal="center" vertical="center" wrapText="1"/>
    </xf>
    <xf numFmtId="0" fontId="41" fillId="0" borderId="4" xfId="0" applyFont="1" applyBorder="1" applyAlignment="1">
      <alignment horizontal="center" vertical="center" wrapText="1"/>
    </xf>
    <xf numFmtId="0" fontId="41" fillId="0" borderId="3" xfId="0" applyFont="1" applyBorder="1" applyAlignment="1">
      <alignment horizontal="center" vertical="center" wrapText="1"/>
    </xf>
    <xf numFmtId="0" fontId="15" fillId="3" borderId="2"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6" fillId="3" borderId="0" xfId="0" applyFont="1" applyFill="1" applyAlignment="1">
      <alignment horizontal="center" vertical="center"/>
    </xf>
    <xf numFmtId="0" fontId="6" fillId="3" borderId="1" xfId="0" applyFont="1" applyFill="1" applyBorder="1" applyAlignment="1">
      <alignment horizontal="center" vertical="center"/>
    </xf>
    <xf numFmtId="0" fontId="6" fillId="3" borderId="4" xfId="0" quotePrefix="1" applyFont="1" applyFill="1" applyBorder="1" applyAlignment="1">
      <alignment horizontal="center" vertical="center" wrapText="1"/>
    </xf>
    <xf numFmtId="0" fontId="6" fillId="3" borderId="3" xfId="0" quotePrefix="1" applyFont="1" applyFill="1" applyBorder="1" applyAlignment="1">
      <alignment horizontal="center" vertical="center" wrapText="1"/>
    </xf>
    <xf numFmtId="0" fontId="6" fillId="3" borderId="2" xfId="0" quotePrefix="1" applyFont="1" applyFill="1" applyBorder="1" applyAlignment="1">
      <alignment horizontal="center" vertical="center" wrapText="1"/>
    </xf>
    <xf numFmtId="0" fontId="5" fillId="3" borderId="0" xfId="0" applyFont="1" applyFill="1" applyAlignment="1">
      <alignment horizontal="left"/>
    </xf>
    <xf numFmtId="0" fontId="6" fillId="3" borderId="5" xfId="0" applyFont="1" applyFill="1" applyBorder="1" applyAlignment="1">
      <alignment horizont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3" fillId="0" borderId="0" xfId="2" applyAlignment="1">
      <alignment horizontal="center"/>
    </xf>
    <xf numFmtId="0" fontId="12" fillId="2" borderId="7" xfId="2" applyFont="1" applyFill="1" applyBorder="1" applyAlignment="1">
      <alignment horizontal="center" vertical="center" wrapText="1"/>
    </xf>
    <xf numFmtId="0" fontId="12" fillId="2" borderId="8" xfId="2" applyFont="1" applyFill="1" applyBorder="1" applyAlignment="1">
      <alignment horizontal="center" vertical="center" wrapText="1"/>
    </xf>
    <xf numFmtId="0" fontId="12" fillId="2" borderId="9" xfId="2" applyFont="1" applyFill="1" applyBorder="1" applyAlignment="1">
      <alignment horizontal="center" vertical="center" wrapText="1"/>
    </xf>
    <xf numFmtId="0" fontId="16" fillId="0" borderId="1" xfId="2" applyFont="1" applyBorder="1" applyAlignment="1">
      <alignment horizontal="center"/>
    </xf>
    <xf numFmtId="0" fontId="37" fillId="0" borderId="0" xfId="2" quotePrefix="1" applyFont="1" applyAlignment="1">
      <alignment horizontal="left" wrapText="1"/>
    </xf>
    <xf numFmtId="0" fontId="19" fillId="0" borderId="0" xfId="0" applyFont="1" applyAlignment="1">
      <alignment horizontal="center"/>
    </xf>
    <xf numFmtId="0" fontId="16" fillId="0" borderId="0" xfId="2" applyFont="1" applyAlignment="1">
      <alignment horizontal="center" wrapText="1"/>
    </xf>
    <xf numFmtId="0" fontId="12" fillId="2" borderId="1" xfId="2" applyFont="1" applyFill="1" applyBorder="1" applyAlignment="1">
      <alignment horizontal="center" vertical="center" wrapText="1"/>
    </xf>
    <xf numFmtId="0" fontId="5" fillId="3" borderId="0" xfId="0" applyFont="1" applyFill="1" applyAlignment="1">
      <alignment horizont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12" fillId="2" borderId="2" xfId="2" applyFont="1" applyFill="1" applyBorder="1" applyAlignment="1">
      <alignment horizontal="center" vertical="center" wrapText="1"/>
    </xf>
    <xf numFmtId="0" fontId="12" fillId="2" borderId="3" xfId="2" applyFont="1" applyFill="1" applyBorder="1" applyAlignment="1">
      <alignment horizontal="center" vertical="center" wrapText="1"/>
    </xf>
    <xf numFmtId="0" fontId="40" fillId="0" borderId="7" xfId="2" applyFont="1" applyBorder="1" applyAlignment="1">
      <alignment horizontal="center" vertical="center" wrapText="1"/>
    </xf>
    <xf numFmtId="0" fontId="40" fillId="0" borderId="8" xfId="2" applyFont="1" applyBorder="1" applyAlignment="1">
      <alignment horizontal="center" vertical="center" wrapText="1"/>
    </xf>
    <xf numFmtId="0" fontId="40" fillId="0" borderId="9" xfId="2" applyFont="1" applyBorder="1" applyAlignment="1">
      <alignment horizontal="center" vertical="center" wrapText="1"/>
    </xf>
    <xf numFmtId="49" fontId="44" fillId="0" borderId="2" xfId="0" applyNumberFormat="1" applyFont="1" applyFill="1" applyBorder="1" applyAlignment="1">
      <alignment horizontal="center" vertical="center" wrapText="1"/>
    </xf>
    <xf numFmtId="49" fontId="44" fillId="0" borderId="3"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0" fontId="44" fillId="0" borderId="0" xfId="0" applyFont="1" applyFill="1" applyAlignment="1">
      <alignment horizontal="center"/>
    </xf>
    <xf numFmtId="0" fontId="44" fillId="0" borderId="2" xfId="0" applyFont="1" applyFill="1" applyBorder="1" applyAlignment="1">
      <alignment horizontal="center" vertical="center" wrapText="1"/>
    </xf>
    <xf numFmtId="0" fontId="44" fillId="0" borderId="3" xfId="0" applyFont="1" applyFill="1" applyBorder="1" applyAlignment="1">
      <alignment horizontal="center" vertical="center" wrapText="1"/>
    </xf>
    <xf numFmtId="172" fontId="44" fillId="0" borderId="2" xfId="0" applyNumberFormat="1" applyFont="1" applyFill="1" applyBorder="1" applyAlignment="1">
      <alignment horizontal="center" vertical="center" wrapText="1"/>
    </xf>
    <xf numFmtId="172" fontId="44" fillId="0" borderId="3" xfId="0" applyNumberFormat="1" applyFont="1" applyFill="1" applyBorder="1" applyAlignment="1">
      <alignment horizontal="center" vertical="center" wrapText="1"/>
    </xf>
    <xf numFmtId="0" fontId="44" fillId="0" borderId="13" xfId="0" applyFont="1" applyFill="1" applyBorder="1" applyAlignment="1">
      <alignment horizontal="center" vertical="center" wrapText="1"/>
    </xf>
    <xf numFmtId="0" fontId="44" fillId="0" borderId="17" xfId="0" applyFont="1" applyFill="1" applyBorder="1" applyAlignment="1">
      <alignment horizontal="center" vertical="center"/>
    </xf>
    <xf numFmtId="0" fontId="45" fillId="0" borderId="5" xfId="0" applyFont="1" applyFill="1" applyBorder="1" applyAlignment="1">
      <alignment horizontal="center"/>
    </xf>
    <xf numFmtId="0" fontId="49" fillId="0" borderId="1" xfId="0" applyFont="1" applyFill="1" applyBorder="1" applyAlignment="1">
      <alignment horizontal="right" vertical="center"/>
    </xf>
    <xf numFmtId="165" fontId="49" fillId="0" borderId="1" xfId="1" applyNumberFormat="1" applyFont="1" applyFill="1" applyBorder="1" applyAlignment="1">
      <alignment horizontal="right" vertical="center"/>
    </xf>
    <xf numFmtId="166" fontId="49" fillId="0" borderId="1" xfId="1" applyNumberFormat="1" applyFont="1" applyFill="1" applyBorder="1" applyAlignment="1">
      <alignment horizontal="right" vertical="center"/>
    </xf>
    <xf numFmtId="9" fontId="49" fillId="0" borderId="1" xfId="0" applyNumberFormat="1" applyFont="1" applyFill="1" applyBorder="1" applyAlignment="1">
      <alignment horizontal="right" vertical="center"/>
    </xf>
  </cellXfs>
  <cellStyles count="11">
    <cellStyle name="Comma" xfId="1" builtinId="3"/>
    <cellStyle name="Comma 2" xfId="3"/>
    <cellStyle name="Comma 2 2" xfId="7"/>
    <cellStyle name="Comma 2 3" xfId="8"/>
    <cellStyle name="Comma 3" xfId="5"/>
    <cellStyle name="Comma 4" xfId="10"/>
    <cellStyle name="Normal" xfId="0" builtinId="0"/>
    <cellStyle name="Normal 2" xfId="2"/>
    <cellStyle name="Normal 2 2" xfId="6"/>
    <cellStyle name="Normal 3" xfId="9"/>
    <cellStyle name="Percent" xfId="4" builtinId="5"/>
  </cellStyles>
  <dxfs count="1">
    <dxf>
      <fill>
        <patternFill patternType="solid">
          <fgColor rgb="FFE2EFD9"/>
          <bgColor rgb="FFE2EF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7dc920627f518cca\QUA&#777;N%20LY&#769;-PHA&#769;T%20TRI&#202;&#777;N%20QUY&#771;%20&#272;&#194;&#769;T\1.%20NHA&#768;%20&#272;&#194;&#769;T%20D&#212;I%20D&#431;\K&#7870;%20HO&#7840;CH%202026\4.2026\5.5.2026%20BO-SUNG-KE-HOACH-KHAI-THA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7dc920627f518cca\QUA&#777;N%20LY&#769;-PHA&#769;T%20TRI&#202;&#777;N%20QUY&#771;%20&#272;&#194;&#769;T\1.%20NHA&#768;%20&#272;&#194;&#769;T%20D&#212;I%20D&#431;\TH&#212;NG%20TIN%20TA&#768;I%20SA&#777;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khai thác"/>
      <sheetName val="PL Kế hoạch"/>
      <sheetName val="Phụ lục 02 Tiền Đất"/>
      <sheetName val="Phụ lục 03 Tiền TS nhà"/>
      <sheetName val="cập nhật giá trị QSDĐ"/>
      <sheetName val="Giá trị QSDĐ"/>
      <sheetName val="PL Kế hoạch (2)"/>
    </sheetNames>
    <sheetDataSet>
      <sheetData sheetId="0"/>
      <sheetData sheetId="1"/>
      <sheetData sheetId="2">
        <row r="29">
          <cell r="E29">
            <v>423.30000000000018</v>
          </cell>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
      <sheetName val="Phụ lục II"/>
      <sheetName val="hƯƠNG sEN"/>
      <sheetName val="STT-TT"/>
      <sheetName val="SCT"/>
      <sheetName val="TTPTQD"/>
      <sheetName val="Sở LĐ"/>
      <sheetName val="KTĐC"/>
      <sheetName val="NH NN"/>
      <sheetName val="đợt 1"/>
      <sheetName val="BKT-VA"/>
    </sheetNames>
    <sheetDataSet>
      <sheetData sheetId="0">
        <row r="2">
          <cell r="B2" t="str">
            <v>Tên cơ sở nhà, đất</v>
          </cell>
          <cell r="C2" t="str">
            <v>Địa chỉ</v>
          </cell>
          <cell r="D2" t="str">
            <v>Số thứ tự thửa đất, tờ bản đồ</v>
          </cell>
          <cell r="E2" t="str">
            <v>Diện tích (m2)</v>
          </cell>
          <cell r="F2" t="str">
            <v>Quyết định thu hồi giao xử lý</v>
          </cell>
          <cell r="G2">
            <v>0</v>
          </cell>
          <cell r="H2">
            <v>0</v>
          </cell>
          <cell r="I2" t="str">
            <v>Năm bàn giao</v>
          </cell>
          <cell r="J2" t="str">
            <v>Diện tích nhà</v>
          </cell>
          <cell r="K2" t="str">
            <v>Diện tích sàn xây dựng</v>
          </cell>
          <cell r="L2" t="str">
            <v>Diện tích sử dụng</v>
          </cell>
        </row>
        <row r="3">
          <cell r="B3">
            <v>0</v>
          </cell>
          <cell r="C3">
            <v>0</v>
          </cell>
          <cell r="D3">
            <v>0</v>
          </cell>
          <cell r="E3">
            <v>0</v>
          </cell>
          <cell r="F3">
            <v>0</v>
          </cell>
          <cell r="G3">
            <v>0</v>
          </cell>
          <cell r="H3" t="str">
            <v>Phương án</v>
          </cell>
          <cell r="I3">
            <v>0</v>
          </cell>
          <cell r="J3">
            <v>0</v>
          </cell>
          <cell r="K3">
            <v>0</v>
          </cell>
          <cell r="L3" t="str">
            <v>Tổng</v>
          </cell>
        </row>
        <row r="4">
          <cell r="B4" t="str">
            <v>Nhà Khách Hương Sen</v>
          </cell>
          <cell r="C4" t="str">
            <v>Đường Nguyễn Chí Thanh, p Thành Sen, tỉnh Hà Tĩnh</v>
          </cell>
          <cell r="D4">
            <v>0</v>
          </cell>
          <cell r="E4">
            <v>2734.3</v>
          </cell>
          <cell r="F4" t="str">
            <v>1670/QĐ-UBND ngày 17/7/2023</v>
          </cell>
          <cell r="G4">
            <v>0</v>
          </cell>
          <cell r="H4" t="str">
            <v>Đề án cho thuê</v>
          </cell>
          <cell r="I4">
            <v>0</v>
          </cell>
          <cell r="J4">
            <v>0</v>
          </cell>
          <cell r="K4">
            <v>600</v>
          </cell>
          <cell r="L4">
            <v>0</v>
          </cell>
        </row>
        <row r="5">
          <cell r="B5" t="str">
            <v>Sở Thông tin và Truyền thông (cũ)</v>
          </cell>
          <cell r="C5" t="str">
            <v>Số 66, đường Phan Đình Phùng, phường Thành Sen, tỉnh Hà Tĩnh</v>
          </cell>
          <cell r="D5" t="str">
            <v>Thửa số 02 - Tờ bản đồ số 5 (Nam Hà)</v>
          </cell>
          <cell r="E5">
            <v>633.79999999999995</v>
          </cell>
          <cell r="F5" t="str">
            <v>2693/QĐ-UBND 
31/10/2025</v>
          </cell>
          <cell r="G5" t="str">
            <v>giao 108</v>
          </cell>
          <cell r="H5">
            <v>108</v>
          </cell>
          <cell r="I5" t="str">
            <v>18/11/2025</v>
          </cell>
          <cell r="J5">
            <v>0</v>
          </cell>
          <cell r="K5">
            <v>873.92000000000007</v>
          </cell>
          <cell r="L5">
            <v>747.38</v>
          </cell>
        </row>
        <row r="6">
          <cell r="B6" t="str">
            <v>Sở Công Thương</v>
          </cell>
          <cell r="C6" t="str">
            <v>Số 02, đường Trần Phú, phường Thành Sen, tỉnh Hà Tĩnh</v>
          </cell>
          <cell r="D6" t="str">
            <v>Thửa số 24 - Tờ bản đồ số 226 (P. Thành Sen)</v>
          </cell>
          <cell r="E6">
            <v>1546.7</v>
          </cell>
          <cell r="F6" t="str">
            <v xml:space="preserve">2735/QĐ-UBND ngày 04/11/2025
</v>
          </cell>
          <cell r="G6">
            <v>0</v>
          </cell>
          <cell r="H6">
            <v>108</v>
          </cell>
          <cell r="I6" t="str">
            <v>30/12/2025</v>
          </cell>
          <cell r="J6">
            <v>0</v>
          </cell>
          <cell r="K6">
            <v>1843</v>
          </cell>
          <cell r="L6">
            <v>1614.2000000000003</v>
          </cell>
        </row>
        <row r="7">
          <cell r="B7" t="str">
            <v>Trung tâm dịch vụ tổng hợp phường Thành Sen (Ban quản lý dịch vụ công ích và trật tự đô thị phường Thành Sen cũ</v>
          </cell>
          <cell r="C7" t="str">
            <v xml:space="preserve"> Số 26, đường Đặng Dung, phường Thành Sen</v>
          </cell>
          <cell r="D7">
            <v>0</v>
          </cell>
          <cell r="E7">
            <v>5532.4</v>
          </cell>
          <cell r="F7" t="str">
            <v>QĐ 3395/QĐ-UBND ngày 31/12/2025</v>
          </cell>
          <cell r="G7">
            <v>0</v>
          </cell>
          <cell r="H7">
            <v>0</v>
          </cell>
          <cell r="I7">
            <v>0</v>
          </cell>
          <cell r="J7">
            <v>1500</v>
          </cell>
          <cell r="K7">
            <v>0</v>
          </cell>
          <cell r="L7">
            <v>0</v>
          </cell>
        </row>
        <row r="8">
          <cell r="B8" t="str">
            <v>Trung tâm GDTX tỉnh</v>
          </cell>
          <cell r="C8" t="str">
            <v>Xã Thiên Cầm</v>
          </cell>
          <cell r="D8">
            <v>0</v>
          </cell>
          <cell r="E8">
            <v>4700</v>
          </cell>
          <cell r="F8" t="str">
            <v>QĐ 3395/QĐ-UBND ngày 31/12/2025</v>
          </cell>
          <cell r="G8">
            <v>0</v>
          </cell>
          <cell r="H8">
            <v>0</v>
          </cell>
          <cell r="I8">
            <v>0</v>
          </cell>
          <cell r="J8">
            <v>3094</v>
          </cell>
          <cell r="K8">
            <v>4700</v>
          </cell>
          <cell r="L8">
            <v>3094</v>
          </cell>
        </row>
        <row r="9">
          <cell r="B9" t="str">
            <v>Trụ sở Sở LĐTBXH cũ</v>
          </cell>
          <cell r="C9" t="str">
            <v>Số 04, đường Trần Phú, phường Thành Sen, tỉnh Hà Tĩnh</v>
          </cell>
          <cell r="D9" t="str">
            <v>Thửa số 15, tờ bản đồ số 226 (P. Thành Sen)</v>
          </cell>
          <cell r="E9">
            <v>1790.4</v>
          </cell>
          <cell r="F9" t="str">
            <v>QĐ 3395/QĐ-UBND ngày 31/12/2025</v>
          </cell>
          <cell r="G9">
            <v>0</v>
          </cell>
          <cell r="H9">
            <v>108</v>
          </cell>
          <cell r="I9" t="str">
            <v>15/3/226</v>
          </cell>
          <cell r="J9">
            <v>1685</v>
          </cell>
          <cell r="K9">
            <v>2417.3626373626375</v>
          </cell>
          <cell r="L9">
            <v>2199.8000000000002</v>
          </cell>
        </row>
        <row r="10">
          <cell r="B10" t="str">
            <v xml:space="preserve">Trụ sở làm việc Trung tâm Kỹ thuật địa chính và Điều tra nông nghiệp </v>
          </cell>
          <cell r="C10" t="str">
            <v>Số 192, đường Trần Phú, phường Thành Sen, tỉnh Hà Tĩnh</v>
          </cell>
          <cell r="D10" t="str">
            <v>Thửa số 357, tờ bản đồ số 83 (P. Thành Sen)</v>
          </cell>
          <cell r="E10">
            <v>633</v>
          </cell>
          <cell r="F10" t="str">
            <v>QĐ 3395/QĐ-UBND ngày 31/12/2025</v>
          </cell>
          <cell r="G10">
            <v>0</v>
          </cell>
          <cell r="H10">
            <v>108</v>
          </cell>
          <cell r="I10" t="str">
            <v>27/01/2026</v>
          </cell>
          <cell r="J10">
            <v>348</v>
          </cell>
          <cell r="K10">
            <v>646</v>
          </cell>
          <cell r="L10">
            <v>598.05999999999995</v>
          </cell>
        </row>
        <row r="11">
          <cell r="B11" t="str">
            <v>Trụ sở làm việc Ban quản lý Khu kinh tế tỉnh Hà Tĩnh (Vũng Áng)</v>
          </cell>
          <cell r="C11" t="str">
            <v>Tại phường Vũng Áng, tỉnh Hà Tĩnh</v>
          </cell>
          <cell r="D11" t="str">
            <v>Thửa đất số 11, tờ bản đồ số 105 (phường Vũng Áng).</v>
          </cell>
          <cell r="E11">
            <v>2792.5</v>
          </cell>
          <cell r="F11" t="str">
            <v>QĐ 3104/QĐ-UBND ngày 11/12/2025</v>
          </cell>
          <cell r="G11">
            <v>0</v>
          </cell>
          <cell r="H11">
            <v>108</v>
          </cell>
          <cell r="I11" t="str">
            <v>18/12/2025</v>
          </cell>
          <cell r="K11">
            <v>1531</v>
          </cell>
          <cell r="L11">
            <v>1270.7999999999997</v>
          </cell>
        </row>
        <row r="12">
          <cell r="B12" t="str">
            <v>Trụ sở làm việc Ban quản lý Khu kinh tế tỉnh Hà Tĩnh (Sơn Tây)</v>
          </cell>
          <cell r="C12" t="str">
            <v>Tại xã Sơn Tây, tỉnh Hà Tĩnh</v>
          </cell>
          <cell r="D12" t="str">
            <v>Thửa đất số 77, tờ bản đồ số 258 (Xã Sơn Tây).</v>
          </cell>
          <cell r="E12">
            <v>4796.7</v>
          </cell>
          <cell r="F12" t="str">
            <v>QĐ 3104/QĐ-UBND ngày 11/12/2025</v>
          </cell>
          <cell r="G12">
            <v>0</v>
          </cell>
          <cell r="H12">
            <v>108</v>
          </cell>
          <cell r="I12" t="str">
            <v>18/12/2025</v>
          </cell>
          <cell r="J12">
            <v>2823.3</v>
          </cell>
          <cell r="K12">
            <v>0</v>
          </cell>
          <cell r="L12">
            <v>0</v>
          </cell>
        </row>
        <row r="13">
          <cell r="B13" t="str">
            <v>Nhà làm việc liên ngành cổng B (Sơn Tây)</v>
          </cell>
          <cell r="C13" t="str">
            <v>Tại xã Sơn Tây, tỉnh Hà Tĩnh</v>
          </cell>
          <cell r="D13" t="str">
            <v>Thửa đất số 72, tờ bản đồ số 20 (xã Sơn Tây).</v>
          </cell>
          <cell r="E13">
            <v>5785.3</v>
          </cell>
          <cell r="F13" t="str">
            <v>QĐ 3104/QĐ-UBND ngày 11/12/2025</v>
          </cell>
          <cell r="G13">
            <v>0</v>
          </cell>
          <cell r="H13">
            <v>108</v>
          </cell>
          <cell r="I13" t="str">
            <v>18/12/2025</v>
          </cell>
          <cell r="J13">
            <v>2527</v>
          </cell>
          <cell r="K13">
            <v>0</v>
          </cell>
          <cell r="L13">
            <v>0</v>
          </cell>
        </row>
        <row r="14">
          <cell r="B14" t="str">
            <v>Ngân hàng nhà nước chi nhánh Khu vực 8</v>
          </cell>
          <cell r="C14" t="str">
            <v>Số 13, đường Trần Phú, phường Thành Sen, tỉnh Hà Tĩnh</v>
          </cell>
          <cell r="D14" t="str">
            <v>Thửa đất số 1, tờ bản đồ số 265 (phường Thành Sen).</v>
          </cell>
          <cell r="E14">
            <v>3206.6</v>
          </cell>
          <cell r="F14" t="str">
            <v>Văn bản số 136/UBND-TH5 ngày 08/01/2026</v>
          </cell>
          <cell r="G14">
            <v>0</v>
          </cell>
          <cell r="H14">
            <v>108</v>
          </cell>
          <cell r="I14" t="str">
            <v>15/01/2026</v>
          </cell>
          <cell r="J14">
            <v>1205.93</v>
          </cell>
          <cell r="K14">
            <v>0</v>
          </cell>
          <cell r="L14">
            <v>3290</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Y105"/>
  <sheetViews>
    <sheetView view="pageBreakPreview" zoomScaleNormal="100" zoomScaleSheetLayoutView="100" workbookViewId="0">
      <pane xSplit="2" ySplit="6" topLeftCell="C81" activePane="bottomRight" state="frozen"/>
      <selection pane="topRight" activeCell="C1" sqref="C1"/>
      <selection pane="bottomLeft" activeCell="A9" sqref="A9"/>
      <selection pane="bottomRight" activeCell="B88" sqref="B88:W88"/>
    </sheetView>
  </sheetViews>
  <sheetFormatPr defaultColWidth="9.140625" defaultRowHeight="15" x14ac:dyDescent="0.25"/>
  <cols>
    <col min="1" max="1" width="4.42578125" style="95" customWidth="1"/>
    <col min="2" max="2" width="25.7109375" style="95" customWidth="1"/>
    <col min="3" max="3" width="22.140625" style="95" hidden="1" customWidth="1"/>
    <col min="4" max="4" width="21.7109375" style="95" hidden="1" customWidth="1"/>
    <col min="5" max="5" width="11.85546875" style="95" customWidth="1"/>
    <col min="6" max="6" width="12.5703125" style="95" hidden="1" customWidth="1"/>
    <col min="7" max="7" width="10" style="95" hidden="1" customWidth="1"/>
    <col min="8" max="9" width="13.5703125" style="95" hidden="1" customWidth="1"/>
    <col min="10" max="10" width="15.7109375" style="95" hidden="1" customWidth="1"/>
    <col min="11" max="11" width="16.85546875" style="95" hidden="1" customWidth="1"/>
    <col min="12" max="12" width="15.5703125" style="95" hidden="1" customWidth="1"/>
    <col min="13" max="13" width="14" style="95" hidden="1" customWidth="1"/>
    <col min="14" max="14" width="25.85546875" style="95" hidden="1" customWidth="1"/>
    <col min="15" max="15" width="15.7109375" style="95" hidden="1" customWidth="1"/>
    <col min="16" max="16" width="18.85546875" style="95" hidden="1" customWidth="1"/>
    <col min="17" max="17" width="9.5703125" style="95" customWidth="1"/>
    <col min="18" max="18" width="12.140625" style="97" customWidth="1"/>
    <col min="19" max="19" width="14.140625" style="144" customWidth="1"/>
    <col min="20" max="20" width="12.42578125" style="144" customWidth="1"/>
    <col min="21" max="22" width="18.140625" style="96" bestFit="1" customWidth="1"/>
    <col min="23" max="23" width="27.42578125" style="95" customWidth="1"/>
    <col min="24" max="24" width="17.42578125" style="255" customWidth="1"/>
    <col min="25" max="25" width="14" style="97" customWidth="1"/>
    <col min="26" max="26" width="13.7109375" style="95" customWidth="1"/>
    <col min="27" max="16384" width="9.140625" style="95"/>
  </cols>
  <sheetData>
    <row r="1" spans="1:25" x14ac:dyDescent="0.25">
      <c r="A1" s="283" t="s">
        <v>8</v>
      </c>
      <c r="B1" s="283"/>
      <c r="C1" s="283"/>
      <c r="D1" s="283"/>
      <c r="E1" s="283"/>
      <c r="F1" s="283"/>
    </row>
    <row r="3" spans="1:25" x14ac:dyDescent="0.25">
      <c r="A3" s="284" t="s">
        <v>74</v>
      </c>
      <c r="B3" s="284"/>
      <c r="C3" s="284"/>
      <c r="D3" s="284"/>
      <c r="E3" s="284"/>
      <c r="F3" s="284"/>
      <c r="G3" s="284"/>
      <c r="H3" s="284"/>
      <c r="I3" s="284"/>
      <c r="J3" s="284"/>
      <c r="K3" s="284"/>
      <c r="L3" s="284"/>
      <c r="M3" s="284"/>
      <c r="N3" s="284"/>
      <c r="O3" s="284"/>
      <c r="P3" s="284"/>
      <c r="Q3" s="284"/>
      <c r="R3" s="284"/>
      <c r="S3" s="284"/>
      <c r="T3" s="284"/>
      <c r="U3" s="284"/>
      <c r="V3" s="284"/>
      <c r="W3" s="284"/>
      <c r="X3" s="284"/>
      <c r="Y3" s="284"/>
    </row>
    <row r="5" spans="1:25" s="104" customFormat="1" ht="57" x14ac:dyDescent="0.25">
      <c r="A5" s="98" t="s">
        <v>6</v>
      </c>
      <c r="B5" s="99" t="s">
        <v>77</v>
      </c>
      <c r="C5" s="99" t="s">
        <v>79</v>
      </c>
      <c r="D5" s="99" t="s">
        <v>78</v>
      </c>
      <c r="E5" s="99" t="s">
        <v>157</v>
      </c>
      <c r="F5" s="100" t="s">
        <v>0</v>
      </c>
      <c r="G5" s="100" t="s">
        <v>1</v>
      </c>
      <c r="H5" s="99"/>
      <c r="I5" s="99"/>
      <c r="J5" s="99"/>
      <c r="K5" s="99" t="s">
        <v>13</v>
      </c>
      <c r="L5" s="99" t="s">
        <v>3</v>
      </c>
      <c r="M5" s="99" t="s">
        <v>4</v>
      </c>
      <c r="N5" s="101"/>
      <c r="O5" s="99"/>
      <c r="P5" s="99"/>
      <c r="Q5" s="99" t="s">
        <v>48</v>
      </c>
      <c r="R5" s="102" t="s">
        <v>31</v>
      </c>
      <c r="S5" s="241" t="s">
        <v>30</v>
      </c>
      <c r="T5" s="241" t="s">
        <v>44</v>
      </c>
      <c r="U5" s="103" t="s">
        <v>32</v>
      </c>
      <c r="V5" s="103" t="s">
        <v>75</v>
      </c>
      <c r="W5" s="99" t="s">
        <v>76</v>
      </c>
      <c r="X5" s="99" t="s">
        <v>145</v>
      </c>
      <c r="Y5" s="99" t="s">
        <v>12</v>
      </c>
    </row>
    <row r="6" spans="1:25" s="104" customFormat="1" ht="14.25" hidden="1" x14ac:dyDescent="0.25">
      <c r="A6" s="101" t="s">
        <v>37</v>
      </c>
      <c r="B6" s="99" t="s">
        <v>38</v>
      </c>
      <c r="C6" s="99"/>
      <c r="D6" s="99"/>
      <c r="E6" s="99"/>
      <c r="F6" s="99"/>
      <c r="G6" s="99"/>
      <c r="H6" s="99">
        <v>0.4</v>
      </c>
      <c r="I6" s="105">
        <f>5/7</f>
        <v>0.7142857142857143</v>
      </c>
      <c r="J6" s="99"/>
      <c r="K6" s="99"/>
      <c r="L6" s="99"/>
      <c r="M6" s="99"/>
      <c r="N6" s="101"/>
      <c r="O6" s="99"/>
      <c r="P6" s="106" t="e">
        <f>SUM(#REF!)</f>
        <v>#REF!</v>
      </c>
      <c r="Q6" s="99"/>
      <c r="R6" s="102"/>
      <c r="S6" s="242"/>
      <c r="T6" s="242"/>
      <c r="U6" s="107"/>
      <c r="V6" s="107"/>
      <c r="W6" s="98"/>
      <c r="X6" s="98"/>
      <c r="Y6" s="101"/>
    </row>
    <row r="7" spans="1:25" s="104" customFormat="1" ht="45" x14ac:dyDescent="0.25">
      <c r="A7" s="282">
        <v>1</v>
      </c>
      <c r="B7" s="285" t="s">
        <v>144</v>
      </c>
      <c r="C7" s="286"/>
      <c r="D7" s="286"/>
      <c r="E7" s="286"/>
      <c r="F7" s="286"/>
      <c r="G7" s="286"/>
      <c r="H7" s="286"/>
      <c r="I7" s="286"/>
      <c r="J7" s="286"/>
      <c r="K7" s="286"/>
      <c r="L7" s="286"/>
      <c r="M7" s="286"/>
      <c r="N7" s="286"/>
      <c r="O7" s="286"/>
      <c r="P7" s="286"/>
      <c r="Q7" s="286"/>
      <c r="R7" s="286"/>
      <c r="S7" s="286"/>
      <c r="T7" s="286"/>
      <c r="U7" s="286"/>
      <c r="V7" s="286"/>
      <c r="W7" s="287"/>
      <c r="X7" s="256" t="s">
        <v>217</v>
      </c>
      <c r="Y7" s="222" t="s">
        <v>152</v>
      </c>
    </row>
    <row r="8" spans="1:25" s="116" customFormat="1" ht="14.25" hidden="1" customHeight="1" x14ac:dyDescent="0.2">
      <c r="A8" s="282"/>
      <c r="B8" s="288"/>
      <c r="C8" s="289"/>
      <c r="D8" s="289"/>
      <c r="E8" s="289"/>
      <c r="F8" s="289"/>
      <c r="G8" s="289"/>
      <c r="H8" s="289"/>
      <c r="I8" s="289"/>
      <c r="J8" s="289"/>
      <c r="K8" s="289"/>
      <c r="L8" s="289"/>
      <c r="M8" s="289"/>
      <c r="N8" s="289"/>
      <c r="O8" s="289"/>
      <c r="P8" s="289"/>
      <c r="Q8" s="289"/>
      <c r="R8" s="289"/>
      <c r="S8" s="289"/>
      <c r="T8" s="289"/>
      <c r="U8" s="289"/>
      <c r="V8" s="289"/>
      <c r="W8" s="290"/>
      <c r="X8" s="98"/>
      <c r="Y8" s="101"/>
    </row>
    <row r="9" spans="1:25" s="116" customFormat="1" ht="14.25" hidden="1" customHeight="1" x14ac:dyDescent="0.2">
      <c r="A9" s="282"/>
      <c r="B9" s="291"/>
      <c r="C9" s="292"/>
      <c r="D9" s="292"/>
      <c r="E9" s="292"/>
      <c r="F9" s="292"/>
      <c r="G9" s="292"/>
      <c r="H9" s="292"/>
      <c r="I9" s="292"/>
      <c r="J9" s="292"/>
      <c r="K9" s="292"/>
      <c r="L9" s="292"/>
      <c r="M9" s="292"/>
      <c r="N9" s="292"/>
      <c r="O9" s="292"/>
      <c r="P9" s="292"/>
      <c r="Q9" s="292"/>
      <c r="R9" s="292"/>
      <c r="S9" s="292"/>
      <c r="T9" s="292"/>
      <c r="U9" s="292"/>
      <c r="V9" s="292"/>
      <c r="W9" s="293"/>
      <c r="X9" s="98"/>
      <c r="Y9" s="101"/>
    </row>
    <row r="10" spans="1:25" s="116" customFormat="1" ht="14.25" x14ac:dyDescent="0.2">
      <c r="A10" s="101" t="s">
        <v>161</v>
      </c>
      <c r="B10" s="150" t="s">
        <v>50</v>
      </c>
      <c r="C10" s="150"/>
      <c r="D10" s="150"/>
      <c r="E10" s="109">
        <v>1671.3000000000002</v>
      </c>
      <c r="F10" s="109"/>
      <c r="G10" s="109"/>
      <c r="H10" s="112"/>
      <c r="I10" s="130"/>
      <c r="J10" s="109"/>
      <c r="K10" s="154"/>
      <c r="L10" s="112"/>
      <c r="M10" s="112"/>
      <c r="N10" s="131"/>
      <c r="O10" s="113"/>
      <c r="P10" s="114"/>
      <c r="Q10" s="114"/>
      <c r="R10" s="129"/>
      <c r="S10" s="155"/>
      <c r="T10" s="155"/>
      <c r="U10" s="114">
        <f>+'cập nhật giá trị QSDĐ'!J9</f>
        <v>82928040000</v>
      </c>
      <c r="V10" s="114">
        <f>+U10</f>
        <v>82928040000</v>
      </c>
      <c r="W10" s="115"/>
      <c r="X10" s="98"/>
      <c r="Y10" s="101"/>
    </row>
    <row r="11" spans="1:25" s="116" customFormat="1" ht="14.25" x14ac:dyDescent="0.2">
      <c r="A11" s="101" t="s">
        <v>162</v>
      </c>
      <c r="B11" s="150" t="s">
        <v>115</v>
      </c>
      <c r="C11" s="150"/>
      <c r="D11" s="150"/>
      <c r="E11" s="109"/>
      <c r="F11" s="109"/>
      <c r="G11" s="109"/>
      <c r="H11" s="112"/>
      <c r="I11" s="130"/>
      <c r="J11" s="109"/>
      <c r="K11" s="154"/>
      <c r="L11" s="112"/>
      <c r="M11" s="112"/>
      <c r="N11" s="131"/>
      <c r="O11" s="113"/>
      <c r="P11" s="114"/>
      <c r="Q11" s="114"/>
      <c r="R11" s="129"/>
      <c r="S11" s="155"/>
      <c r="T11" s="155"/>
      <c r="U11" s="114"/>
      <c r="V11" s="114"/>
      <c r="W11" s="115"/>
      <c r="X11" s="98"/>
      <c r="Y11" s="101"/>
    </row>
    <row r="12" spans="1:25" ht="16.5" customHeight="1" x14ac:dyDescent="0.25">
      <c r="A12" s="121" t="s">
        <v>117</v>
      </c>
      <c r="B12" s="73" t="s">
        <v>80</v>
      </c>
      <c r="C12" s="117"/>
      <c r="D12" s="117"/>
      <c r="E12" s="111"/>
      <c r="F12" s="111"/>
      <c r="G12" s="111"/>
      <c r="H12" s="118"/>
      <c r="I12" s="110"/>
      <c r="J12" s="111"/>
      <c r="K12" s="122"/>
      <c r="L12" s="118"/>
      <c r="M12" s="118"/>
      <c r="N12" s="123"/>
      <c r="O12" s="113"/>
      <c r="P12" s="114"/>
      <c r="Q12" s="125"/>
      <c r="R12" s="167">
        <v>2008</v>
      </c>
      <c r="S12" s="124">
        <v>1190</v>
      </c>
      <c r="T12" s="124">
        <v>1082.9000000000001</v>
      </c>
      <c r="U12" s="119">
        <v>4606149096</v>
      </c>
      <c r="V12" s="119">
        <v>1935265427</v>
      </c>
      <c r="W12" s="194" t="s">
        <v>139</v>
      </c>
      <c r="X12" s="73"/>
      <c r="Y12" s="121"/>
    </row>
    <row r="13" spans="1:25" ht="16.5" customHeight="1" x14ac:dyDescent="0.25">
      <c r="A13" s="121" t="s">
        <v>117</v>
      </c>
      <c r="B13" s="73" t="s">
        <v>81</v>
      </c>
      <c r="C13" s="117"/>
      <c r="D13" s="117"/>
      <c r="E13" s="111"/>
      <c r="F13" s="111"/>
      <c r="G13" s="111"/>
      <c r="H13" s="118"/>
      <c r="I13" s="110"/>
      <c r="J13" s="111"/>
      <c r="K13" s="122"/>
      <c r="L13" s="118"/>
      <c r="M13" s="118"/>
      <c r="N13" s="123"/>
      <c r="O13" s="113"/>
      <c r="P13" s="114"/>
      <c r="Q13" s="125"/>
      <c r="R13" s="167">
        <v>2008</v>
      </c>
      <c r="S13" s="124">
        <v>641.31868131868134</v>
      </c>
      <c r="T13" s="124">
        <v>583.6</v>
      </c>
      <c r="U13" s="119">
        <v>1595622510</v>
      </c>
      <c r="V13" s="119">
        <v>486096162</v>
      </c>
      <c r="W13" s="194" t="s">
        <v>139</v>
      </c>
      <c r="X13" s="73"/>
      <c r="Y13" s="121"/>
    </row>
    <row r="14" spans="1:25" ht="16.5" customHeight="1" x14ac:dyDescent="0.25">
      <c r="A14" s="121" t="s">
        <v>117</v>
      </c>
      <c r="B14" s="73" t="s">
        <v>82</v>
      </c>
      <c r="C14" s="117"/>
      <c r="D14" s="117"/>
      <c r="E14" s="111"/>
      <c r="F14" s="111"/>
      <c r="G14" s="111"/>
      <c r="H14" s="118"/>
      <c r="I14" s="110"/>
      <c r="J14" s="111"/>
      <c r="K14" s="122"/>
      <c r="L14" s="118"/>
      <c r="M14" s="118"/>
      <c r="N14" s="123"/>
      <c r="O14" s="113"/>
      <c r="P14" s="114"/>
      <c r="Q14" s="125"/>
      <c r="R14" s="167">
        <v>2008</v>
      </c>
      <c r="S14" s="124">
        <v>515.60439560439556</v>
      </c>
      <c r="T14" s="124">
        <v>469.19999999999993</v>
      </c>
      <c r="U14" s="119">
        <v>386280349</v>
      </c>
      <c r="V14" s="119">
        <v>137603650</v>
      </c>
      <c r="W14" s="194" t="s">
        <v>139</v>
      </c>
      <c r="X14" s="73"/>
      <c r="Y14" s="121"/>
    </row>
    <row r="15" spans="1:25" ht="16.5" customHeight="1" x14ac:dyDescent="0.25">
      <c r="A15" s="121" t="s">
        <v>117</v>
      </c>
      <c r="B15" s="73" t="s">
        <v>83</v>
      </c>
      <c r="C15" s="117"/>
      <c r="D15" s="117"/>
      <c r="E15" s="111"/>
      <c r="F15" s="111"/>
      <c r="G15" s="111"/>
      <c r="H15" s="118"/>
      <c r="I15" s="110"/>
      <c r="J15" s="111"/>
      <c r="K15" s="122"/>
      <c r="L15" s="118"/>
      <c r="M15" s="118"/>
      <c r="N15" s="123"/>
      <c r="O15" s="113"/>
      <c r="P15" s="114"/>
      <c r="Q15" s="125"/>
      <c r="R15" s="167">
        <v>2008</v>
      </c>
      <c r="S15" s="124">
        <v>30.989010989010985</v>
      </c>
      <c r="T15" s="124">
        <v>28.2</v>
      </c>
      <c r="U15" s="119">
        <v>45779900</v>
      </c>
      <c r="V15" s="119">
        <v>2728483</v>
      </c>
      <c r="W15" s="194" t="s">
        <v>139</v>
      </c>
      <c r="X15" s="73"/>
      <c r="Y15" s="121"/>
    </row>
    <row r="16" spans="1:25" ht="16.5" customHeight="1" x14ac:dyDescent="0.25">
      <c r="A16" s="121" t="s">
        <v>117</v>
      </c>
      <c r="B16" s="73" t="s">
        <v>85</v>
      </c>
      <c r="C16" s="117"/>
      <c r="D16" s="117"/>
      <c r="E16" s="111"/>
      <c r="F16" s="111"/>
      <c r="G16" s="111"/>
      <c r="H16" s="118"/>
      <c r="I16" s="110"/>
      <c r="J16" s="111"/>
      <c r="K16" s="122"/>
      <c r="L16" s="118"/>
      <c r="M16" s="118"/>
      <c r="N16" s="123"/>
      <c r="O16" s="113"/>
      <c r="P16" s="114"/>
      <c r="Q16" s="125"/>
      <c r="R16" s="167">
        <v>2008</v>
      </c>
      <c r="S16" s="124">
        <v>26.593406593406591</v>
      </c>
      <c r="T16" s="124">
        <v>24.2</v>
      </c>
      <c r="U16" s="119">
        <v>20000000</v>
      </c>
      <c r="V16" s="119">
        <v>0</v>
      </c>
      <c r="W16" s="194" t="s">
        <v>139</v>
      </c>
      <c r="X16" s="73"/>
      <c r="Y16" s="121"/>
    </row>
    <row r="17" spans="1:25" ht="16.5" customHeight="1" x14ac:dyDescent="0.25">
      <c r="A17" s="121" t="s">
        <v>117</v>
      </c>
      <c r="B17" s="73" t="s">
        <v>216</v>
      </c>
      <c r="C17" s="117"/>
      <c r="D17" s="117"/>
      <c r="E17" s="111"/>
      <c r="F17" s="111"/>
      <c r="G17" s="111"/>
      <c r="H17" s="118"/>
      <c r="I17" s="110"/>
      <c r="J17" s="111"/>
      <c r="K17" s="122"/>
      <c r="L17" s="118"/>
      <c r="M17" s="118"/>
      <c r="N17" s="123"/>
      <c r="O17" s="113"/>
      <c r="P17" s="114"/>
      <c r="Q17" s="125"/>
      <c r="R17" s="167">
        <v>2008</v>
      </c>
      <c r="S17" s="124">
        <v>12.857142857142856</v>
      </c>
      <c r="T17" s="124">
        <v>11.7</v>
      </c>
      <c r="U17" s="119">
        <v>34793600</v>
      </c>
      <c r="V17" s="119">
        <v>0</v>
      </c>
      <c r="W17" s="194" t="s">
        <v>139</v>
      </c>
      <c r="X17" s="73"/>
      <c r="Y17" s="121"/>
    </row>
    <row r="18" spans="1:25" s="116" customFormat="1" ht="16.5" hidden="1" customHeight="1" x14ac:dyDescent="0.2">
      <c r="A18" s="101" t="s">
        <v>201</v>
      </c>
      <c r="B18" s="75" t="s">
        <v>183</v>
      </c>
      <c r="C18" s="150"/>
      <c r="D18" s="150"/>
      <c r="E18" s="109"/>
      <c r="F18" s="109"/>
      <c r="G18" s="109"/>
      <c r="H18" s="112"/>
      <c r="I18" s="130"/>
      <c r="J18" s="109"/>
      <c r="K18" s="154"/>
      <c r="L18" s="112"/>
      <c r="M18" s="112"/>
      <c r="N18" s="244"/>
      <c r="O18" s="113"/>
      <c r="P18" s="114"/>
      <c r="Q18" s="252"/>
      <c r="R18" s="168"/>
      <c r="S18" s="155"/>
      <c r="T18" s="155"/>
      <c r="U18" s="114">
        <f>SUM(U19:U26)</f>
        <v>638801800</v>
      </c>
      <c r="V18" s="114">
        <f>SUM(V19:V26)</f>
        <v>0</v>
      </c>
      <c r="W18" s="77"/>
      <c r="X18" s="73"/>
      <c r="Y18" s="101"/>
    </row>
    <row r="19" spans="1:25" ht="16.5" hidden="1" customHeight="1" x14ac:dyDescent="0.25">
      <c r="A19" s="121" t="s">
        <v>117</v>
      </c>
      <c r="B19" s="247" t="s">
        <v>202</v>
      </c>
      <c r="C19" s="117"/>
      <c r="D19" s="117"/>
      <c r="E19" s="111"/>
      <c r="F19" s="111"/>
      <c r="G19" s="111"/>
      <c r="H19" s="118"/>
      <c r="I19" s="110"/>
      <c r="J19" s="111"/>
      <c r="K19" s="122"/>
      <c r="L19" s="118"/>
      <c r="M19" s="118"/>
      <c r="N19" s="123"/>
      <c r="O19" s="113"/>
      <c r="P19" s="114"/>
      <c r="Q19" s="125"/>
      <c r="R19" s="167">
        <v>2016</v>
      </c>
      <c r="S19" s="124"/>
      <c r="T19" s="124"/>
      <c r="U19" s="248">
        <v>92362000</v>
      </c>
      <c r="V19" s="119"/>
      <c r="W19" s="194"/>
      <c r="X19" s="73"/>
      <c r="Y19" s="121"/>
    </row>
    <row r="20" spans="1:25" ht="16.5" hidden="1" customHeight="1" x14ac:dyDescent="0.25">
      <c r="A20" s="121" t="s">
        <v>117</v>
      </c>
      <c r="B20" s="249" t="s">
        <v>203</v>
      </c>
      <c r="C20" s="117"/>
      <c r="D20" s="117"/>
      <c r="E20" s="111"/>
      <c r="F20" s="111"/>
      <c r="G20" s="111"/>
      <c r="H20" s="118"/>
      <c r="I20" s="110"/>
      <c r="J20" s="111"/>
      <c r="K20" s="122"/>
      <c r="L20" s="118"/>
      <c r="M20" s="118"/>
      <c r="N20" s="123"/>
      <c r="O20" s="113"/>
      <c r="P20" s="114"/>
      <c r="Q20" s="125"/>
      <c r="R20" s="167">
        <v>2016</v>
      </c>
      <c r="S20" s="124"/>
      <c r="T20" s="124"/>
      <c r="U20" s="248">
        <v>14495000</v>
      </c>
      <c r="V20" s="119"/>
      <c r="W20" s="194" t="s">
        <v>211</v>
      </c>
      <c r="X20" s="73"/>
      <c r="Y20" s="121"/>
    </row>
    <row r="21" spans="1:25" ht="16.5" hidden="1" customHeight="1" x14ac:dyDescent="0.25">
      <c r="A21" s="121" t="s">
        <v>117</v>
      </c>
      <c r="B21" s="249" t="s">
        <v>204</v>
      </c>
      <c r="C21" s="117"/>
      <c r="D21" s="117"/>
      <c r="E21" s="111"/>
      <c r="F21" s="111"/>
      <c r="G21" s="111"/>
      <c r="H21" s="118"/>
      <c r="I21" s="110"/>
      <c r="J21" s="111"/>
      <c r="K21" s="122"/>
      <c r="L21" s="118"/>
      <c r="M21" s="118"/>
      <c r="N21" s="123"/>
      <c r="O21" s="113"/>
      <c r="P21" s="114"/>
      <c r="Q21" s="125"/>
      <c r="R21" s="167">
        <v>2016</v>
      </c>
      <c r="S21" s="124"/>
      <c r="T21" s="124"/>
      <c r="U21" s="250">
        <v>12348000</v>
      </c>
      <c r="V21" s="119"/>
      <c r="W21" s="194" t="s">
        <v>211</v>
      </c>
      <c r="X21" s="73"/>
      <c r="Y21" s="121"/>
    </row>
    <row r="22" spans="1:25" ht="16.5" hidden="1" customHeight="1" x14ac:dyDescent="0.25">
      <c r="A22" s="121" t="s">
        <v>117</v>
      </c>
      <c r="B22" s="249" t="s">
        <v>205</v>
      </c>
      <c r="C22" s="117"/>
      <c r="D22" s="117"/>
      <c r="E22" s="111"/>
      <c r="F22" s="111"/>
      <c r="G22" s="111"/>
      <c r="H22" s="118"/>
      <c r="I22" s="110"/>
      <c r="J22" s="111"/>
      <c r="K22" s="122"/>
      <c r="L22" s="118"/>
      <c r="M22" s="118"/>
      <c r="N22" s="123"/>
      <c r="O22" s="113"/>
      <c r="P22" s="114"/>
      <c r="Q22" s="125"/>
      <c r="R22" s="167">
        <v>2016</v>
      </c>
      <c r="S22" s="124"/>
      <c r="T22" s="124"/>
      <c r="U22" s="250">
        <v>282363800</v>
      </c>
      <c r="V22" s="251" t="s">
        <v>206</v>
      </c>
      <c r="W22" s="194" t="s">
        <v>212</v>
      </c>
      <c r="X22" s="73"/>
      <c r="Y22" s="121"/>
    </row>
    <row r="23" spans="1:25" ht="16.5" hidden="1" customHeight="1" x14ac:dyDescent="0.25">
      <c r="A23" s="121" t="s">
        <v>117</v>
      </c>
      <c r="B23" s="249" t="s">
        <v>207</v>
      </c>
      <c r="C23" s="117"/>
      <c r="D23" s="117"/>
      <c r="E23" s="111"/>
      <c r="F23" s="111"/>
      <c r="G23" s="111"/>
      <c r="H23" s="118"/>
      <c r="I23" s="110"/>
      <c r="J23" s="111"/>
      <c r="K23" s="122"/>
      <c r="L23" s="118"/>
      <c r="M23" s="118"/>
      <c r="N23" s="123"/>
      <c r="O23" s="113"/>
      <c r="P23" s="114"/>
      <c r="Q23" s="125"/>
      <c r="R23" s="167">
        <v>2015</v>
      </c>
      <c r="S23" s="124"/>
      <c r="T23" s="124"/>
      <c r="U23" s="250">
        <v>94500000</v>
      </c>
      <c r="V23" s="251">
        <v>0</v>
      </c>
      <c r="W23" s="194" t="s">
        <v>212</v>
      </c>
      <c r="X23" s="73"/>
      <c r="Y23" s="121"/>
    </row>
    <row r="24" spans="1:25" ht="16.5" hidden="1" customHeight="1" x14ac:dyDescent="0.25">
      <c r="A24" s="121" t="s">
        <v>117</v>
      </c>
      <c r="B24" s="249" t="s">
        <v>208</v>
      </c>
      <c r="C24" s="117"/>
      <c r="D24" s="117"/>
      <c r="E24" s="111"/>
      <c r="F24" s="111"/>
      <c r="G24" s="111"/>
      <c r="H24" s="118"/>
      <c r="I24" s="110"/>
      <c r="J24" s="111"/>
      <c r="K24" s="122"/>
      <c r="L24" s="118"/>
      <c r="M24" s="118"/>
      <c r="N24" s="123"/>
      <c r="O24" s="113"/>
      <c r="P24" s="114"/>
      <c r="Q24" s="125"/>
      <c r="R24" s="167">
        <v>2016</v>
      </c>
      <c r="S24" s="124"/>
      <c r="T24" s="124"/>
      <c r="U24" s="250">
        <v>91000000</v>
      </c>
      <c r="V24" s="250">
        <v>0</v>
      </c>
      <c r="W24" s="194" t="s">
        <v>213</v>
      </c>
      <c r="X24" s="73"/>
      <c r="Y24" s="121"/>
    </row>
    <row r="25" spans="1:25" ht="16.5" hidden="1" customHeight="1" x14ac:dyDescent="0.25">
      <c r="A25" s="121" t="s">
        <v>117</v>
      </c>
      <c r="B25" s="249" t="s">
        <v>209</v>
      </c>
      <c r="C25" s="117"/>
      <c r="D25" s="117"/>
      <c r="E25" s="111"/>
      <c r="F25" s="111"/>
      <c r="G25" s="111"/>
      <c r="H25" s="118"/>
      <c r="I25" s="110"/>
      <c r="J25" s="111"/>
      <c r="K25" s="122"/>
      <c r="L25" s="118"/>
      <c r="M25" s="118"/>
      <c r="N25" s="123"/>
      <c r="O25" s="113"/>
      <c r="P25" s="114"/>
      <c r="Q25" s="125"/>
      <c r="R25" s="167">
        <v>2016</v>
      </c>
      <c r="S25" s="124"/>
      <c r="T25" s="124"/>
      <c r="U25" s="250">
        <v>36600000</v>
      </c>
      <c r="V25" s="251">
        <v>0</v>
      </c>
      <c r="W25" s="194" t="s">
        <v>214</v>
      </c>
      <c r="X25" s="73"/>
      <c r="Y25" s="121"/>
    </row>
    <row r="26" spans="1:25" ht="16.5" hidden="1" customHeight="1" x14ac:dyDescent="0.25">
      <c r="A26" s="121" t="s">
        <v>117</v>
      </c>
      <c r="B26" s="249" t="s">
        <v>210</v>
      </c>
      <c r="C26" s="117"/>
      <c r="D26" s="117"/>
      <c r="E26" s="111"/>
      <c r="F26" s="111"/>
      <c r="G26" s="111"/>
      <c r="H26" s="118"/>
      <c r="I26" s="110"/>
      <c r="J26" s="111"/>
      <c r="K26" s="122"/>
      <c r="L26" s="118"/>
      <c r="M26" s="118"/>
      <c r="N26" s="123"/>
      <c r="O26" s="113"/>
      <c r="P26" s="114"/>
      <c r="Q26" s="125"/>
      <c r="R26" s="167">
        <v>2016</v>
      </c>
      <c r="S26" s="124"/>
      <c r="T26" s="124"/>
      <c r="U26" s="250">
        <v>15133000</v>
      </c>
      <c r="V26" s="251">
        <v>0</v>
      </c>
      <c r="W26" s="194" t="s">
        <v>215</v>
      </c>
      <c r="X26" s="73"/>
      <c r="Y26" s="121"/>
    </row>
    <row r="27" spans="1:25" s="104" customFormat="1" ht="45" x14ac:dyDescent="0.25">
      <c r="A27" s="282">
        <v>2</v>
      </c>
      <c r="B27" s="285" t="s">
        <v>108</v>
      </c>
      <c r="C27" s="286" t="s">
        <v>109</v>
      </c>
      <c r="D27" s="286" t="s">
        <v>42</v>
      </c>
      <c r="E27" s="286"/>
      <c r="F27" s="286">
        <f>SUM(F28:F28)</f>
        <v>420.5</v>
      </c>
      <c r="G27" s="286">
        <f>SUM(G28:G28)</f>
        <v>176.3</v>
      </c>
      <c r="H27" s="286"/>
      <c r="I27" s="286"/>
      <c r="J27" s="286"/>
      <c r="K27" s="286">
        <f>SUM(L27:M27)</f>
        <v>8582899800</v>
      </c>
      <c r="L27" s="286">
        <f>SUM(L28:L28)</f>
        <v>6635490000</v>
      </c>
      <c r="M27" s="286">
        <f>SUM(M28:M28)</f>
        <v>1947409800</v>
      </c>
      <c r="N27" s="286" t="s">
        <v>15</v>
      </c>
      <c r="O27" s="286">
        <v>1.2999999999999999E-2</v>
      </c>
      <c r="P27" s="286">
        <f>+K27*O27</f>
        <v>111577697.39999999</v>
      </c>
      <c r="Q27" s="286"/>
      <c r="R27" s="286"/>
      <c r="S27" s="286"/>
      <c r="T27" s="286"/>
      <c r="U27" s="286"/>
      <c r="V27" s="286"/>
      <c r="W27" s="287"/>
      <c r="X27" s="256" t="s">
        <v>217</v>
      </c>
      <c r="Y27" s="222" t="s">
        <v>152</v>
      </c>
    </row>
    <row r="28" spans="1:25" s="116" customFormat="1" ht="14.25" hidden="1" customHeight="1" x14ac:dyDescent="0.2">
      <c r="A28" s="282"/>
      <c r="B28" s="288" t="s">
        <v>10</v>
      </c>
      <c r="C28" s="289"/>
      <c r="D28" s="289"/>
      <c r="E28" s="289">
        <f>SUM(F28:G28)</f>
        <v>596.79999999999995</v>
      </c>
      <c r="F28" s="289">
        <v>420.5</v>
      </c>
      <c r="G28" s="289">
        <v>176.3</v>
      </c>
      <c r="H28" s="289">
        <v>18410000</v>
      </c>
      <c r="I28" s="289">
        <f>H28/7*5</f>
        <v>13150000</v>
      </c>
      <c r="J28" s="289">
        <v>1.2</v>
      </c>
      <c r="K28" s="289">
        <f>SUM(L28:M28)</f>
        <v>8582899800</v>
      </c>
      <c r="L28" s="289">
        <f>F28*I28*J28</f>
        <v>6635490000</v>
      </c>
      <c r="M28" s="289">
        <f>G28*I28*0.7*1.2</f>
        <v>1947409800</v>
      </c>
      <c r="N28" s="289"/>
      <c r="O28" s="289"/>
      <c r="P28" s="289"/>
      <c r="Q28" s="289"/>
      <c r="R28" s="289"/>
      <c r="S28" s="289"/>
      <c r="T28" s="289"/>
      <c r="U28" s="289"/>
      <c r="V28" s="289"/>
      <c r="W28" s="290"/>
      <c r="X28" s="98"/>
      <c r="Y28" s="101"/>
    </row>
    <row r="29" spans="1:25" s="116" customFormat="1" ht="14.25" x14ac:dyDescent="0.2">
      <c r="A29" s="101" t="s">
        <v>163</v>
      </c>
      <c r="B29" s="291" t="s">
        <v>50</v>
      </c>
      <c r="C29" s="292"/>
      <c r="D29" s="292"/>
      <c r="E29" s="292">
        <v>633</v>
      </c>
      <c r="F29" s="292"/>
      <c r="G29" s="292"/>
      <c r="H29" s="292"/>
      <c r="I29" s="292"/>
      <c r="J29" s="292"/>
      <c r="K29" s="292"/>
      <c r="L29" s="292"/>
      <c r="M29" s="292"/>
      <c r="N29" s="292"/>
      <c r="O29" s="292"/>
      <c r="P29" s="292"/>
      <c r="Q29" s="292"/>
      <c r="R29" s="292"/>
      <c r="S29" s="292"/>
      <c r="T29" s="292"/>
      <c r="U29" s="292">
        <f>+'cập nhật giá trị QSDĐ'!J12</f>
        <v>21756400000</v>
      </c>
      <c r="V29" s="292">
        <f>+U29</f>
        <v>21756400000</v>
      </c>
      <c r="W29" s="293"/>
      <c r="X29" s="98"/>
      <c r="Y29" s="101"/>
    </row>
    <row r="30" spans="1:25" s="116" customFormat="1" ht="14.25" x14ac:dyDescent="0.2">
      <c r="A30" s="101" t="s">
        <v>164</v>
      </c>
      <c r="B30" s="150" t="s">
        <v>115</v>
      </c>
      <c r="C30" s="150"/>
      <c r="D30" s="150"/>
      <c r="E30" s="109"/>
      <c r="F30" s="109"/>
      <c r="G30" s="109"/>
      <c r="H30" s="112"/>
      <c r="I30" s="130"/>
      <c r="J30" s="109"/>
      <c r="K30" s="112"/>
      <c r="L30" s="112"/>
      <c r="M30" s="112"/>
      <c r="N30" s="131"/>
      <c r="O30" s="113"/>
      <c r="P30" s="114"/>
      <c r="Q30" s="114"/>
      <c r="R30" s="129"/>
      <c r="S30" s="155"/>
      <c r="T30" s="155"/>
      <c r="U30" s="114"/>
      <c r="V30" s="114"/>
      <c r="W30" s="115"/>
      <c r="X30" s="98"/>
      <c r="Y30" s="101"/>
    </row>
    <row r="31" spans="1:25" x14ac:dyDescent="0.25">
      <c r="A31" s="121" t="s">
        <v>117</v>
      </c>
      <c r="B31" s="73" t="s">
        <v>86</v>
      </c>
      <c r="C31" s="117"/>
      <c r="D31" s="117"/>
      <c r="E31" s="111"/>
      <c r="F31" s="111"/>
      <c r="G31" s="111"/>
      <c r="H31" s="118"/>
      <c r="I31" s="110"/>
      <c r="J31" s="111"/>
      <c r="K31" s="122"/>
      <c r="L31" s="118"/>
      <c r="M31" s="118"/>
      <c r="N31" s="123"/>
      <c r="O31" s="113"/>
      <c r="P31" s="114"/>
      <c r="Q31" s="125"/>
      <c r="R31" s="167">
        <v>2006</v>
      </c>
      <c r="S31" s="124">
        <v>546</v>
      </c>
      <c r="T31" s="124">
        <v>505.26</v>
      </c>
      <c r="U31" s="119">
        <v>1014376000</v>
      </c>
      <c r="V31" s="119">
        <v>400732876</v>
      </c>
      <c r="W31" s="120" t="s">
        <v>139</v>
      </c>
      <c r="X31" s="221"/>
      <c r="Y31" s="121"/>
    </row>
    <row r="32" spans="1:25" x14ac:dyDescent="0.25">
      <c r="A32" s="121" t="s">
        <v>117</v>
      </c>
      <c r="B32" s="73" t="s">
        <v>87</v>
      </c>
      <c r="C32" s="117"/>
      <c r="D32" s="117"/>
      <c r="E32" s="111"/>
      <c r="F32" s="111"/>
      <c r="G32" s="111"/>
      <c r="H32" s="118"/>
      <c r="I32" s="110"/>
      <c r="J32" s="111"/>
      <c r="K32" s="122"/>
      <c r="L32" s="118"/>
      <c r="M32" s="118"/>
      <c r="N32" s="123"/>
      <c r="O32" s="113"/>
      <c r="P32" s="114"/>
      <c r="Q32" s="125"/>
      <c r="R32" s="167">
        <v>2006</v>
      </c>
      <c r="S32" s="124">
        <v>100</v>
      </c>
      <c r="T32" s="124">
        <v>92.8</v>
      </c>
      <c r="U32" s="119">
        <v>309472145</v>
      </c>
      <c r="V32" s="119">
        <v>160214971</v>
      </c>
      <c r="W32" s="120" t="s">
        <v>139</v>
      </c>
      <c r="X32" s="221"/>
      <c r="Y32" s="121"/>
    </row>
    <row r="33" spans="1:25" s="116" customFormat="1" ht="45" x14ac:dyDescent="0.2">
      <c r="A33" s="282">
        <v>3</v>
      </c>
      <c r="B33" s="294" t="s">
        <v>62</v>
      </c>
      <c r="C33" s="295"/>
      <c r="D33" s="295"/>
      <c r="E33" s="295"/>
      <c r="F33" s="295"/>
      <c r="G33" s="295"/>
      <c r="H33" s="295"/>
      <c r="I33" s="295"/>
      <c r="J33" s="295"/>
      <c r="K33" s="295"/>
      <c r="L33" s="295"/>
      <c r="M33" s="295"/>
      <c r="N33" s="295"/>
      <c r="O33" s="295"/>
      <c r="P33" s="295"/>
      <c r="Q33" s="295"/>
      <c r="R33" s="295"/>
      <c r="S33" s="295"/>
      <c r="T33" s="295"/>
      <c r="U33" s="295"/>
      <c r="V33" s="295"/>
      <c r="W33" s="296"/>
      <c r="X33" s="256" t="s">
        <v>217</v>
      </c>
      <c r="Y33" s="222" t="s">
        <v>152</v>
      </c>
    </row>
    <row r="34" spans="1:25" s="116" customFormat="1" ht="14.25" hidden="1" x14ac:dyDescent="0.2">
      <c r="A34" s="282"/>
      <c r="B34" s="150" t="s">
        <v>10</v>
      </c>
      <c r="C34" s="150"/>
      <c r="D34" s="150"/>
      <c r="E34" s="109">
        <f>SUM(F34:G34)</f>
        <v>1221.5999999999999</v>
      </c>
      <c r="F34" s="109">
        <v>1221.5999999999999</v>
      </c>
      <c r="G34" s="109"/>
      <c r="H34" s="130">
        <v>22050000</v>
      </c>
      <c r="I34" s="130">
        <f>+H34/7*5</f>
        <v>15750000</v>
      </c>
      <c r="J34" s="109">
        <v>1</v>
      </c>
      <c r="K34" s="112">
        <f>SUM(L34:M34)</f>
        <v>19240200000</v>
      </c>
      <c r="L34" s="112">
        <f>F34*I34*J34</f>
        <v>19240200000</v>
      </c>
      <c r="M34" s="112"/>
      <c r="N34" s="131"/>
      <c r="O34" s="113"/>
      <c r="P34" s="114"/>
      <c r="Q34" s="114"/>
      <c r="R34" s="168"/>
      <c r="S34" s="155"/>
      <c r="T34" s="155"/>
      <c r="U34" s="114"/>
      <c r="V34" s="114"/>
      <c r="W34" s="115"/>
      <c r="X34" s="98"/>
      <c r="Y34" s="101"/>
    </row>
    <row r="35" spans="1:25" s="116" customFormat="1" ht="14.25" hidden="1" x14ac:dyDescent="0.2">
      <c r="A35" s="282"/>
      <c r="B35" s="150" t="s">
        <v>11</v>
      </c>
      <c r="C35" s="150"/>
      <c r="D35" s="150"/>
      <c r="E35" s="109">
        <f>SUM(F35:G35)</f>
        <v>1200</v>
      </c>
      <c r="F35" s="109">
        <v>1200</v>
      </c>
      <c r="G35" s="109"/>
      <c r="H35" s="130">
        <f>+H34*0.4</f>
        <v>8820000</v>
      </c>
      <c r="I35" s="130">
        <f>+H35/7*5</f>
        <v>6300000</v>
      </c>
      <c r="J35" s="109">
        <v>1</v>
      </c>
      <c r="K35" s="112">
        <f>SUM(L35:M35)</f>
        <v>7560000000</v>
      </c>
      <c r="L35" s="112">
        <f>F35*I35*J35</f>
        <v>7560000000</v>
      </c>
      <c r="M35" s="112"/>
      <c r="N35" s="131"/>
      <c r="O35" s="113"/>
      <c r="P35" s="114"/>
      <c r="Q35" s="114"/>
      <c r="R35" s="168"/>
      <c r="S35" s="155"/>
      <c r="T35" s="155"/>
      <c r="U35" s="114"/>
      <c r="V35" s="114"/>
      <c r="W35" s="115"/>
      <c r="X35" s="98"/>
      <c r="Y35" s="101"/>
    </row>
    <row r="36" spans="1:25" s="116" customFormat="1" ht="14.25" x14ac:dyDescent="0.2">
      <c r="A36" s="101" t="s">
        <v>165</v>
      </c>
      <c r="B36" s="150" t="s">
        <v>50</v>
      </c>
      <c r="C36" s="150"/>
      <c r="D36" s="150"/>
      <c r="E36" s="109">
        <f>+'cập nhật giá trị QSDĐ'!D14</f>
        <v>2421.6</v>
      </c>
      <c r="F36" s="109"/>
      <c r="G36" s="109"/>
      <c r="H36" s="130"/>
      <c r="I36" s="130"/>
      <c r="J36" s="109"/>
      <c r="K36" s="112"/>
      <c r="L36" s="112"/>
      <c r="M36" s="112"/>
      <c r="N36" s="131"/>
      <c r="O36" s="113"/>
      <c r="P36" s="114"/>
      <c r="Q36" s="114"/>
      <c r="R36" s="168"/>
      <c r="S36" s="155"/>
      <c r="T36" s="155"/>
      <c r="U36" s="114">
        <f>+'cập nhật giá trị QSDĐ'!J14</f>
        <v>81676800000</v>
      </c>
      <c r="V36" s="114">
        <f>+U36</f>
        <v>81676800000</v>
      </c>
      <c r="W36" s="115"/>
      <c r="X36" s="98"/>
      <c r="Y36" s="101"/>
    </row>
    <row r="37" spans="1:25" s="116" customFormat="1" ht="14.25" x14ac:dyDescent="0.2">
      <c r="A37" s="101" t="s">
        <v>166</v>
      </c>
      <c r="B37" s="150" t="s">
        <v>116</v>
      </c>
      <c r="C37" s="150"/>
      <c r="D37" s="150"/>
      <c r="E37" s="109"/>
      <c r="F37" s="109"/>
      <c r="G37" s="109"/>
      <c r="H37" s="130"/>
      <c r="I37" s="130"/>
      <c r="J37" s="109"/>
      <c r="K37" s="112"/>
      <c r="L37" s="112"/>
      <c r="M37" s="112"/>
      <c r="N37" s="131"/>
      <c r="O37" s="113"/>
      <c r="P37" s="114"/>
      <c r="Q37" s="114"/>
      <c r="R37" s="168"/>
      <c r="S37" s="155"/>
      <c r="T37" s="155"/>
      <c r="U37" s="114"/>
      <c r="V37" s="114">
        <f>SUM(V38:V42)</f>
        <v>0</v>
      </c>
      <c r="W37" s="115"/>
      <c r="X37" s="98"/>
      <c r="Y37" s="101"/>
    </row>
    <row r="38" spans="1:25" ht="16.5" customHeight="1" x14ac:dyDescent="0.25">
      <c r="A38" s="121" t="s">
        <v>117</v>
      </c>
      <c r="B38" s="117" t="s">
        <v>180</v>
      </c>
      <c r="C38" s="117"/>
      <c r="D38" s="117"/>
      <c r="E38" s="111"/>
      <c r="F38" s="111"/>
      <c r="G38" s="111"/>
      <c r="H38" s="110"/>
      <c r="I38" s="110"/>
      <c r="J38" s="111"/>
      <c r="K38" s="118"/>
      <c r="L38" s="118"/>
      <c r="M38" s="118"/>
      <c r="N38" s="123"/>
      <c r="O38" s="113"/>
      <c r="P38" s="114"/>
      <c r="Q38" s="114"/>
      <c r="R38" s="167">
        <v>1995</v>
      </c>
      <c r="S38" s="124">
        <v>978</v>
      </c>
      <c r="T38" s="124">
        <v>850.8</v>
      </c>
      <c r="U38" s="119">
        <v>974928000</v>
      </c>
      <c r="V38" s="119">
        <v>0</v>
      </c>
      <c r="W38" s="194" t="s">
        <v>139</v>
      </c>
      <c r="X38" s="73"/>
      <c r="Y38" s="121"/>
    </row>
    <row r="39" spans="1:25" ht="16.5" customHeight="1" x14ac:dyDescent="0.25">
      <c r="A39" s="121" t="s">
        <v>117</v>
      </c>
      <c r="B39" s="117" t="s">
        <v>181</v>
      </c>
      <c r="C39" s="117"/>
      <c r="D39" s="117"/>
      <c r="E39" s="111"/>
      <c r="F39" s="111"/>
      <c r="G39" s="111"/>
      <c r="H39" s="110"/>
      <c r="I39" s="110"/>
      <c r="J39" s="111"/>
      <c r="K39" s="118"/>
      <c r="L39" s="118"/>
      <c r="M39" s="118"/>
      <c r="N39" s="123"/>
      <c r="O39" s="113"/>
      <c r="P39" s="114"/>
      <c r="Q39" s="114"/>
      <c r="R39" s="167">
        <v>1996</v>
      </c>
      <c r="S39" s="124">
        <v>750</v>
      </c>
      <c r="T39" s="124">
        <v>660.2</v>
      </c>
      <c r="U39" s="119">
        <v>797941000</v>
      </c>
      <c r="V39" s="119">
        <v>0</v>
      </c>
      <c r="W39" s="194" t="s">
        <v>139</v>
      </c>
      <c r="X39" s="73"/>
      <c r="Y39" s="121"/>
    </row>
    <row r="40" spans="1:25" ht="16.5" customHeight="1" x14ac:dyDescent="0.25">
      <c r="A40" s="121" t="s">
        <v>117</v>
      </c>
      <c r="B40" s="117" t="s">
        <v>101</v>
      </c>
      <c r="C40" s="117"/>
      <c r="D40" s="117"/>
      <c r="E40" s="111"/>
      <c r="F40" s="111"/>
      <c r="G40" s="111"/>
      <c r="H40" s="110"/>
      <c r="I40" s="110"/>
      <c r="J40" s="111"/>
      <c r="K40" s="118"/>
      <c r="L40" s="118"/>
      <c r="M40" s="118"/>
      <c r="N40" s="123"/>
      <c r="O40" s="113"/>
      <c r="P40" s="114"/>
      <c r="Q40" s="114"/>
      <c r="R40" s="167">
        <v>1993</v>
      </c>
      <c r="S40" s="124">
        <v>25</v>
      </c>
      <c r="T40" s="124">
        <v>22</v>
      </c>
      <c r="U40" s="119">
        <v>19667000</v>
      </c>
      <c r="V40" s="119">
        <v>0</v>
      </c>
      <c r="W40" s="194" t="s">
        <v>139</v>
      </c>
      <c r="X40" s="73"/>
      <c r="Y40" s="121"/>
    </row>
    <row r="41" spans="1:25" ht="16.5" customHeight="1" x14ac:dyDescent="0.25">
      <c r="A41" s="121" t="s">
        <v>117</v>
      </c>
      <c r="B41" s="117" t="s">
        <v>102</v>
      </c>
      <c r="C41" s="117"/>
      <c r="D41" s="117"/>
      <c r="E41" s="111"/>
      <c r="F41" s="111"/>
      <c r="G41" s="111"/>
      <c r="H41" s="110"/>
      <c r="I41" s="110"/>
      <c r="J41" s="111"/>
      <c r="K41" s="118"/>
      <c r="L41" s="118"/>
      <c r="M41" s="118"/>
      <c r="N41" s="123"/>
      <c r="O41" s="113"/>
      <c r="P41" s="114"/>
      <c r="Q41" s="114"/>
      <c r="R41" s="167">
        <v>1995</v>
      </c>
      <c r="S41" s="124">
        <v>25</v>
      </c>
      <c r="T41" s="124">
        <v>21.2</v>
      </c>
      <c r="U41" s="119">
        <v>25038000</v>
      </c>
      <c r="V41" s="119">
        <v>0</v>
      </c>
      <c r="W41" s="194" t="s">
        <v>139</v>
      </c>
      <c r="X41" s="73"/>
      <c r="Y41" s="121"/>
    </row>
    <row r="42" spans="1:25" ht="16.5" customHeight="1" x14ac:dyDescent="0.25">
      <c r="A42" s="121" t="s">
        <v>117</v>
      </c>
      <c r="B42" s="117" t="s">
        <v>107</v>
      </c>
      <c r="C42" s="117"/>
      <c r="D42" s="117"/>
      <c r="E42" s="111"/>
      <c r="F42" s="111"/>
      <c r="G42" s="111"/>
      <c r="H42" s="110"/>
      <c r="I42" s="110"/>
      <c r="J42" s="111"/>
      <c r="K42" s="118"/>
      <c r="L42" s="118"/>
      <c r="M42" s="118"/>
      <c r="N42" s="123"/>
      <c r="O42" s="113"/>
      <c r="P42" s="114"/>
      <c r="Q42" s="114"/>
      <c r="R42" s="167">
        <v>2000</v>
      </c>
      <c r="S42" s="124">
        <v>330</v>
      </c>
      <c r="T42" s="124">
        <v>303</v>
      </c>
      <c r="U42" s="119">
        <v>424453000</v>
      </c>
      <c r="V42" s="119">
        <v>0</v>
      </c>
      <c r="W42" s="194" t="s">
        <v>139</v>
      </c>
      <c r="X42" s="73"/>
      <c r="Y42" s="121"/>
    </row>
    <row r="43" spans="1:25" ht="16.5" hidden="1" customHeight="1" x14ac:dyDescent="0.25">
      <c r="A43" s="101" t="s">
        <v>182</v>
      </c>
      <c r="B43" s="150" t="s">
        <v>183</v>
      </c>
      <c r="C43" s="117"/>
      <c r="D43" s="117"/>
      <c r="E43" s="111"/>
      <c r="F43" s="111"/>
      <c r="G43" s="111"/>
      <c r="H43" s="110"/>
      <c r="I43" s="110"/>
      <c r="J43" s="111"/>
      <c r="K43" s="118"/>
      <c r="L43" s="118"/>
      <c r="M43" s="118"/>
      <c r="N43" s="123"/>
      <c r="O43" s="113"/>
      <c r="P43" s="114"/>
      <c r="Q43" s="114"/>
      <c r="R43" s="167"/>
      <c r="S43" s="124"/>
      <c r="T43" s="124"/>
      <c r="U43" s="114">
        <f>SUM(U44:U49)</f>
        <v>652956471</v>
      </c>
      <c r="V43" s="114">
        <f>SUM(V44:V49)</f>
        <v>9170000</v>
      </c>
      <c r="W43" s="194"/>
      <c r="X43" s="73"/>
      <c r="Y43" s="121"/>
    </row>
    <row r="44" spans="1:25" ht="16.5" hidden="1" customHeight="1" x14ac:dyDescent="0.25">
      <c r="A44" s="121" t="s">
        <v>117</v>
      </c>
      <c r="B44" s="117" t="s">
        <v>184</v>
      </c>
      <c r="C44" s="117"/>
      <c r="D44" s="117"/>
      <c r="E44" s="111"/>
      <c r="F44" s="111"/>
      <c r="G44" s="111"/>
      <c r="H44" s="110"/>
      <c r="I44" s="110"/>
      <c r="J44" s="111"/>
      <c r="K44" s="118"/>
      <c r="L44" s="118"/>
      <c r="M44" s="118"/>
      <c r="N44" s="123"/>
      <c r="O44" s="113"/>
      <c r="P44" s="114"/>
      <c r="Q44" s="114"/>
      <c r="R44" s="167"/>
      <c r="S44" s="124"/>
      <c r="T44" s="124"/>
      <c r="U44" s="119">
        <v>25005000</v>
      </c>
      <c r="V44" s="119">
        <v>0</v>
      </c>
      <c r="W44" s="194" t="s">
        <v>211</v>
      </c>
      <c r="X44" s="73"/>
      <c r="Y44" s="121"/>
    </row>
    <row r="45" spans="1:25" ht="30" hidden="1" x14ac:dyDescent="0.25">
      <c r="A45" s="121" t="s">
        <v>117</v>
      </c>
      <c r="B45" s="245" t="s">
        <v>185</v>
      </c>
      <c r="C45" s="117"/>
      <c r="D45" s="117"/>
      <c r="E45" s="111"/>
      <c r="F45" s="111"/>
      <c r="G45" s="111"/>
      <c r="H45" s="110"/>
      <c r="I45" s="110"/>
      <c r="J45" s="111"/>
      <c r="K45" s="118"/>
      <c r="L45" s="118"/>
      <c r="M45" s="118"/>
      <c r="N45" s="123"/>
      <c r="O45" s="113"/>
      <c r="P45" s="114"/>
      <c r="Q45" s="114"/>
      <c r="R45" s="167"/>
      <c r="S45" s="124"/>
      <c r="T45" s="124"/>
      <c r="U45" s="119">
        <v>269481919</v>
      </c>
      <c r="V45" s="119">
        <v>0</v>
      </c>
      <c r="W45" s="194" t="s">
        <v>218</v>
      </c>
      <c r="X45" s="73"/>
      <c r="Y45" s="121"/>
    </row>
    <row r="46" spans="1:25" ht="16.5" hidden="1" customHeight="1" x14ac:dyDescent="0.25">
      <c r="A46" s="121" t="s">
        <v>117</v>
      </c>
      <c r="B46" s="117" t="s">
        <v>186</v>
      </c>
      <c r="C46" s="117"/>
      <c r="D46" s="117"/>
      <c r="E46" s="111"/>
      <c r="F46" s="111"/>
      <c r="G46" s="111"/>
      <c r="H46" s="110"/>
      <c r="I46" s="110"/>
      <c r="J46" s="111"/>
      <c r="K46" s="118"/>
      <c r="L46" s="118"/>
      <c r="M46" s="118"/>
      <c r="N46" s="123"/>
      <c r="O46" s="113"/>
      <c r="P46" s="114"/>
      <c r="Q46" s="114"/>
      <c r="R46" s="167"/>
      <c r="S46" s="124"/>
      <c r="T46" s="124"/>
      <c r="U46" s="119">
        <v>22925000</v>
      </c>
      <c r="V46" s="119">
        <v>9170000</v>
      </c>
      <c r="W46" s="194" t="s">
        <v>219</v>
      </c>
      <c r="X46" s="73"/>
      <c r="Y46" s="121"/>
    </row>
    <row r="47" spans="1:25" ht="30" hidden="1" x14ac:dyDescent="0.25">
      <c r="A47" s="121" t="s">
        <v>117</v>
      </c>
      <c r="B47" s="117" t="s">
        <v>187</v>
      </c>
      <c r="C47" s="117"/>
      <c r="D47" s="117"/>
      <c r="E47" s="111"/>
      <c r="F47" s="111"/>
      <c r="G47" s="111"/>
      <c r="H47" s="110"/>
      <c r="I47" s="110"/>
      <c r="J47" s="111"/>
      <c r="K47" s="118"/>
      <c r="L47" s="118"/>
      <c r="M47" s="118"/>
      <c r="N47" s="123"/>
      <c r="O47" s="113"/>
      <c r="P47" s="114"/>
      <c r="Q47" s="114"/>
      <c r="R47" s="167"/>
      <c r="S47" s="124"/>
      <c r="T47" s="124"/>
      <c r="U47" s="119">
        <v>44020000</v>
      </c>
      <c r="V47" s="119">
        <v>0</v>
      </c>
      <c r="W47" s="194" t="s">
        <v>220</v>
      </c>
      <c r="X47" s="73"/>
      <c r="Y47" s="121"/>
    </row>
    <row r="48" spans="1:25" ht="30" hidden="1" x14ac:dyDescent="0.25">
      <c r="A48" s="121" t="s">
        <v>117</v>
      </c>
      <c r="B48" s="117" t="s">
        <v>188</v>
      </c>
      <c r="C48" s="117"/>
      <c r="D48" s="117"/>
      <c r="E48" s="111"/>
      <c r="F48" s="111"/>
      <c r="G48" s="111"/>
      <c r="H48" s="110"/>
      <c r="I48" s="110"/>
      <c r="J48" s="111"/>
      <c r="K48" s="118"/>
      <c r="L48" s="118"/>
      <c r="M48" s="118"/>
      <c r="N48" s="123"/>
      <c r="O48" s="113"/>
      <c r="P48" s="114"/>
      <c r="Q48" s="114"/>
      <c r="R48" s="167"/>
      <c r="S48" s="124"/>
      <c r="T48" s="124"/>
      <c r="U48" s="119">
        <v>170363000</v>
      </c>
      <c r="V48" s="119">
        <v>0</v>
      </c>
      <c r="W48" s="194" t="s">
        <v>220</v>
      </c>
      <c r="X48" s="73"/>
      <c r="Y48" s="121"/>
    </row>
    <row r="49" spans="1:25" ht="30" hidden="1" x14ac:dyDescent="0.25">
      <c r="A49" s="121" t="s">
        <v>117</v>
      </c>
      <c r="B49" s="117" t="s">
        <v>188</v>
      </c>
      <c r="C49" s="117"/>
      <c r="D49" s="117"/>
      <c r="E49" s="111"/>
      <c r="F49" s="111"/>
      <c r="G49" s="111"/>
      <c r="H49" s="110"/>
      <c r="I49" s="110"/>
      <c r="J49" s="111"/>
      <c r="K49" s="118"/>
      <c r="L49" s="118"/>
      <c r="M49" s="118"/>
      <c r="N49" s="123"/>
      <c r="O49" s="113"/>
      <c r="P49" s="114"/>
      <c r="Q49" s="114"/>
      <c r="R49" s="167"/>
      <c r="S49" s="124"/>
      <c r="T49" s="124"/>
      <c r="U49" s="119">
        <v>121161552</v>
      </c>
      <c r="V49" s="119">
        <v>0</v>
      </c>
      <c r="W49" s="194" t="s">
        <v>220</v>
      </c>
      <c r="X49" s="73"/>
      <c r="Y49" s="121"/>
    </row>
    <row r="50" spans="1:25" s="116" customFormat="1" ht="45" x14ac:dyDescent="0.2">
      <c r="A50" s="282">
        <v>4</v>
      </c>
      <c r="B50" s="294" t="s">
        <v>64</v>
      </c>
      <c r="C50" s="297"/>
      <c r="D50" s="297"/>
      <c r="E50" s="297"/>
      <c r="F50" s="297"/>
      <c r="G50" s="297"/>
      <c r="H50" s="297"/>
      <c r="I50" s="297"/>
      <c r="J50" s="297"/>
      <c r="K50" s="297"/>
      <c r="L50" s="297"/>
      <c r="M50" s="297"/>
      <c r="N50" s="297"/>
      <c r="O50" s="297"/>
      <c r="P50" s="297"/>
      <c r="Q50" s="297"/>
      <c r="R50" s="297"/>
      <c r="S50" s="297"/>
      <c r="T50" s="297"/>
      <c r="U50" s="297"/>
      <c r="V50" s="297"/>
      <c r="W50" s="298"/>
      <c r="X50" s="256" t="s">
        <v>217</v>
      </c>
      <c r="Y50" s="222" t="s">
        <v>152</v>
      </c>
    </row>
    <row r="51" spans="1:25" s="116" customFormat="1" ht="14.25" hidden="1" x14ac:dyDescent="0.2">
      <c r="A51" s="282"/>
      <c r="B51" s="150" t="s">
        <v>10</v>
      </c>
      <c r="C51" s="150"/>
      <c r="D51" s="150"/>
      <c r="E51" s="109">
        <f>SUM(F51:G51)</f>
        <v>1537.9</v>
      </c>
      <c r="F51" s="156">
        <v>1537.9</v>
      </c>
      <c r="G51" s="109"/>
      <c r="H51" s="130">
        <v>28140000</v>
      </c>
      <c r="I51" s="130">
        <f>+H51*$I$6</f>
        <v>20100000</v>
      </c>
      <c r="J51" s="109">
        <v>1.2</v>
      </c>
      <c r="K51" s="112">
        <f>SUM(L51:M51)</f>
        <v>37094148000</v>
      </c>
      <c r="L51" s="112">
        <f>F51*I51*J51</f>
        <v>37094148000</v>
      </c>
      <c r="M51" s="112"/>
      <c r="N51" s="131"/>
      <c r="O51" s="113"/>
      <c r="P51" s="114"/>
      <c r="Q51" s="114"/>
      <c r="R51" s="129"/>
      <c r="S51" s="155"/>
      <c r="T51" s="155"/>
      <c r="U51" s="114"/>
      <c r="V51" s="114"/>
      <c r="W51" s="115"/>
      <c r="X51" s="98"/>
      <c r="Y51" s="101"/>
    </row>
    <row r="52" spans="1:25" s="116" customFormat="1" ht="14.25" hidden="1" x14ac:dyDescent="0.2">
      <c r="A52" s="282"/>
      <c r="B52" s="150" t="s">
        <v>11</v>
      </c>
      <c r="C52" s="150"/>
      <c r="D52" s="150"/>
      <c r="E52" s="109">
        <f>SUM(F52:G52)</f>
        <v>1530.3</v>
      </c>
      <c r="F52" s="156">
        <v>1530.3</v>
      </c>
      <c r="G52" s="109"/>
      <c r="H52" s="130">
        <f>+H51*0.4</f>
        <v>11256000</v>
      </c>
      <c r="I52" s="130">
        <f>+H52*$I$6</f>
        <v>8040000</v>
      </c>
      <c r="J52" s="109">
        <v>1</v>
      </c>
      <c r="K52" s="112">
        <f>SUM(L52:M52)</f>
        <v>12303612000</v>
      </c>
      <c r="L52" s="112">
        <f>F52*I52*J52</f>
        <v>12303612000</v>
      </c>
      <c r="M52" s="112"/>
      <c r="N52" s="131"/>
      <c r="O52" s="113"/>
      <c r="P52" s="114"/>
      <c r="Q52" s="114"/>
      <c r="R52" s="129"/>
      <c r="S52" s="155"/>
      <c r="T52" s="155"/>
      <c r="U52" s="114"/>
      <c r="V52" s="114"/>
      <c r="W52" s="115"/>
      <c r="X52" s="98"/>
      <c r="Y52" s="101"/>
    </row>
    <row r="53" spans="1:25" s="116" customFormat="1" ht="14.25" hidden="1" x14ac:dyDescent="0.2">
      <c r="A53" s="282"/>
      <c r="B53" s="150" t="s">
        <v>73</v>
      </c>
      <c r="C53" s="150"/>
      <c r="D53" s="150"/>
      <c r="E53" s="109">
        <f>SUM(F53:G53)</f>
        <v>138.4</v>
      </c>
      <c r="F53" s="109">
        <v>138.4</v>
      </c>
      <c r="G53" s="109"/>
      <c r="H53" s="130">
        <f>+H51*0.3</f>
        <v>8442000</v>
      </c>
      <c r="I53" s="130">
        <f>+H53*$I$6</f>
        <v>6030000</v>
      </c>
      <c r="J53" s="109">
        <v>1</v>
      </c>
      <c r="K53" s="112">
        <f>SUM(L53:M53)</f>
        <v>834552000</v>
      </c>
      <c r="L53" s="112">
        <f>F53*I53*J53</f>
        <v>834552000</v>
      </c>
      <c r="M53" s="112"/>
      <c r="N53" s="131"/>
      <c r="O53" s="113"/>
      <c r="P53" s="114"/>
      <c r="Q53" s="114"/>
      <c r="R53" s="129"/>
      <c r="S53" s="155"/>
      <c r="T53" s="155"/>
      <c r="U53" s="114"/>
      <c r="V53" s="114"/>
      <c r="W53" s="115"/>
      <c r="X53" s="98"/>
      <c r="Y53" s="101"/>
    </row>
    <row r="54" spans="1:25" s="116" customFormat="1" ht="14.25" x14ac:dyDescent="0.2">
      <c r="A54" s="101" t="s">
        <v>167</v>
      </c>
      <c r="B54" s="150" t="s">
        <v>50</v>
      </c>
      <c r="C54" s="150"/>
      <c r="D54" s="150"/>
      <c r="E54" s="109">
        <f>+'cập nhật giá trị QSDĐ'!D17</f>
        <v>3206.6</v>
      </c>
      <c r="F54" s="109"/>
      <c r="G54" s="109"/>
      <c r="H54" s="130"/>
      <c r="I54" s="130"/>
      <c r="J54" s="109"/>
      <c r="K54" s="112"/>
      <c r="L54" s="112"/>
      <c r="M54" s="112"/>
      <c r="N54" s="131"/>
      <c r="O54" s="113"/>
      <c r="P54" s="114"/>
      <c r="Q54" s="114"/>
      <c r="R54" s="129"/>
      <c r="S54" s="155"/>
      <c r="T54" s="155"/>
      <c r="U54" s="114">
        <f>+'cập nhật giá trị QSDĐ'!J17</f>
        <v>127455120000</v>
      </c>
      <c r="V54" s="114">
        <f>+U54</f>
        <v>127455120000</v>
      </c>
      <c r="W54" s="115"/>
      <c r="X54" s="98"/>
      <c r="Y54" s="101"/>
    </row>
    <row r="55" spans="1:25" s="116" customFormat="1" ht="14.25" x14ac:dyDescent="0.2">
      <c r="A55" s="101" t="s">
        <v>168</v>
      </c>
      <c r="B55" s="150" t="s">
        <v>115</v>
      </c>
      <c r="C55" s="150"/>
      <c r="D55" s="150"/>
      <c r="E55" s="109"/>
      <c r="F55" s="109"/>
      <c r="G55" s="109"/>
      <c r="H55" s="130"/>
      <c r="I55" s="130"/>
      <c r="J55" s="109"/>
      <c r="K55" s="112"/>
      <c r="L55" s="112"/>
      <c r="M55" s="112"/>
      <c r="N55" s="131"/>
      <c r="O55" s="113"/>
      <c r="P55" s="114"/>
      <c r="Q55" s="114"/>
      <c r="R55" s="129"/>
      <c r="S55" s="155"/>
      <c r="T55" s="155"/>
      <c r="U55" s="114"/>
      <c r="V55" s="114"/>
      <c r="W55" s="115"/>
      <c r="X55" s="98"/>
      <c r="Y55" s="101"/>
    </row>
    <row r="56" spans="1:25" ht="16.5" customHeight="1" x14ac:dyDescent="0.25">
      <c r="A56" s="121" t="s">
        <v>117</v>
      </c>
      <c r="B56" s="117" t="s">
        <v>97</v>
      </c>
      <c r="C56" s="117"/>
      <c r="D56" s="117"/>
      <c r="E56" s="111">
        <v>682.08</v>
      </c>
      <c r="F56" s="111"/>
      <c r="G56" s="111"/>
      <c r="H56" s="110"/>
      <c r="I56" s="110"/>
      <c r="J56" s="111"/>
      <c r="K56" s="118"/>
      <c r="L56" s="118"/>
      <c r="M56" s="118"/>
      <c r="N56" s="123"/>
      <c r="O56" s="113"/>
      <c r="P56" s="114"/>
      <c r="Q56" s="114"/>
      <c r="R56" s="169">
        <v>2004</v>
      </c>
      <c r="S56" s="124">
        <v>2721.9</v>
      </c>
      <c r="T56" s="124">
        <v>2477</v>
      </c>
      <c r="U56" s="119">
        <v>11060363643</v>
      </c>
      <c r="V56" s="119">
        <v>941626688</v>
      </c>
      <c r="W56" s="194" t="s">
        <v>139</v>
      </c>
      <c r="X56" s="73"/>
      <c r="Y56" s="126" t="s">
        <v>100</v>
      </c>
    </row>
    <row r="57" spans="1:25" ht="16.5" customHeight="1" x14ac:dyDescent="0.25">
      <c r="A57" s="121" t="s">
        <v>117</v>
      </c>
      <c r="B57" s="117" t="s">
        <v>98</v>
      </c>
      <c r="C57" s="117"/>
      <c r="D57" s="117"/>
      <c r="E57" s="111">
        <v>230.55</v>
      </c>
      <c r="F57" s="111"/>
      <c r="G57" s="111"/>
      <c r="H57" s="110"/>
      <c r="I57" s="110"/>
      <c r="J57" s="111"/>
      <c r="K57" s="118"/>
      <c r="L57" s="118"/>
      <c r="M57" s="118"/>
      <c r="N57" s="123"/>
      <c r="O57" s="113"/>
      <c r="P57" s="114"/>
      <c r="Q57" s="114"/>
      <c r="R57" s="169">
        <v>2004</v>
      </c>
      <c r="S57" s="124">
        <v>393.25</v>
      </c>
      <c r="T57" s="124">
        <v>350</v>
      </c>
      <c r="U57" s="119">
        <v>3270166920</v>
      </c>
      <c r="V57" s="119">
        <v>1286101091</v>
      </c>
      <c r="W57" s="194" t="s">
        <v>139</v>
      </c>
      <c r="X57" s="73"/>
      <c r="Y57" s="121"/>
    </row>
    <row r="58" spans="1:25" ht="16.5" customHeight="1" x14ac:dyDescent="0.25">
      <c r="A58" s="121" t="s">
        <v>117</v>
      </c>
      <c r="B58" s="117" t="s">
        <v>99</v>
      </c>
      <c r="C58" s="117"/>
      <c r="D58" s="117"/>
      <c r="E58" s="111">
        <v>293.3</v>
      </c>
      <c r="F58" s="111"/>
      <c r="G58" s="111"/>
      <c r="H58" s="110"/>
      <c r="I58" s="110"/>
      <c r="J58" s="111"/>
      <c r="K58" s="118"/>
      <c r="L58" s="118"/>
      <c r="M58" s="118"/>
      <c r="N58" s="123"/>
      <c r="O58" s="113"/>
      <c r="P58" s="114"/>
      <c r="Q58" s="114"/>
      <c r="R58" s="169">
        <v>2004</v>
      </c>
      <c r="S58" s="124">
        <v>520.20000000000005</v>
      </c>
      <c r="T58" s="124">
        <v>463</v>
      </c>
      <c r="U58" s="119">
        <v>1271760051</v>
      </c>
      <c r="V58" s="119">
        <v>150800965</v>
      </c>
      <c r="W58" s="194" t="s">
        <v>139</v>
      </c>
      <c r="X58" s="73"/>
      <c r="Y58" s="121"/>
    </row>
    <row r="59" spans="1:25" ht="16.5" hidden="1" customHeight="1" x14ac:dyDescent="0.25">
      <c r="A59" s="101" t="s">
        <v>189</v>
      </c>
      <c r="B59" s="150" t="s">
        <v>183</v>
      </c>
      <c r="C59" s="117"/>
      <c r="D59" s="117"/>
      <c r="E59" s="111"/>
      <c r="F59" s="111"/>
      <c r="G59" s="111"/>
      <c r="H59" s="110"/>
      <c r="I59" s="110"/>
      <c r="J59" s="111"/>
      <c r="K59" s="118"/>
      <c r="L59" s="118"/>
      <c r="M59" s="118"/>
      <c r="N59" s="123"/>
      <c r="O59" s="113"/>
      <c r="P59" s="114"/>
      <c r="Q59" s="114"/>
      <c r="R59" s="169"/>
      <c r="S59" s="124"/>
      <c r="T59" s="124"/>
      <c r="U59" s="114">
        <f>SUM(U60:U69)</f>
        <v>4464120998</v>
      </c>
      <c r="V59" s="114">
        <f>SUM(V60:V69)</f>
        <v>0</v>
      </c>
      <c r="W59" s="194"/>
      <c r="X59" s="73"/>
      <c r="Y59" s="121"/>
    </row>
    <row r="60" spans="1:25" ht="16.5" hidden="1" customHeight="1" x14ac:dyDescent="0.25">
      <c r="A60" s="121" t="s">
        <v>117</v>
      </c>
      <c r="B60" s="117" t="s">
        <v>190</v>
      </c>
      <c r="C60" s="117"/>
      <c r="D60" s="117"/>
      <c r="E60" s="111"/>
      <c r="F60" s="111"/>
      <c r="G60" s="111"/>
      <c r="H60" s="110"/>
      <c r="I60" s="110"/>
      <c r="J60" s="111"/>
      <c r="K60" s="118"/>
      <c r="L60" s="118"/>
      <c r="M60" s="118"/>
      <c r="N60" s="123"/>
      <c r="O60" s="113"/>
      <c r="P60" s="114"/>
      <c r="Q60" s="114"/>
      <c r="R60" s="169"/>
      <c r="S60" s="124"/>
      <c r="T60" s="124"/>
      <c r="U60" s="119">
        <v>91777000</v>
      </c>
      <c r="V60" s="119">
        <v>0</v>
      </c>
      <c r="W60" s="194" t="s">
        <v>139</v>
      </c>
      <c r="X60" s="73"/>
      <c r="Y60" s="121"/>
    </row>
    <row r="61" spans="1:25" ht="16.5" hidden="1" customHeight="1" x14ac:dyDescent="0.25">
      <c r="A61" s="121" t="s">
        <v>117</v>
      </c>
      <c r="B61" s="117" t="s">
        <v>191</v>
      </c>
      <c r="C61" s="117"/>
      <c r="D61" s="117"/>
      <c r="E61" s="111"/>
      <c r="F61" s="111"/>
      <c r="G61" s="111"/>
      <c r="H61" s="110"/>
      <c r="I61" s="110"/>
      <c r="J61" s="111"/>
      <c r="K61" s="118"/>
      <c r="L61" s="118"/>
      <c r="M61" s="118"/>
      <c r="N61" s="123"/>
      <c r="O61" s="113"/>
      <c r="P61" s="114"/>
      <c r="Q61" s="114"/>
      <c r="R61" s="169"/>
      <c r="S61" s="124"/>
      <c r="T61" s="124"/>
      <c r="U61" s="119">
        <v>373240094</v>
      </c>
      <c r="V61" s="119">
        <v>0</v>
      </c>
      <c r="W61" s="194" t="s">
        <v>139</v>
      </c>
      <c r="X61" s="73"/>
      <c r="Y61" s="121"/>
    </row>
    <row r="62" spans="1:25" ht="16.5" hidden="1" customHeight="1" x14ac:dyDescent="0.25">
      <c r="A62" s="121" t="s">
        <v>117</v>
      </c>
      <c r="B62" s="117" t="s">
        <v>192</v>
      </c>
      <c r="C62" s="117"/>
      <c r="D62" s="117"/>
      <c r="E62" s="111"/>
      <c r="F62" s="111"/>
      <c r="G62" s="111"/>
      <c r="H62" s="110"/>
      <c r="I62" s="110"/>
      <c r="J62" s="111"/>
      <c r="K62" s="118"/>
      <c r="L62" s="118"/>
      <c r="M62" s="118"/>
      <c r="N62" s="123"/>
      <c r="O62" s="113"/>
      <c r="P62" s="114"/>
      <c r="Q62" s="114"/>
      <c r="R62" s="169"/>
      <c r="S62" s="124"/>
      <c r="T62" s="124"/>
      <c r="U62" s="119">
        <v>331418000</v>
      </c>
      <c r="V62" s="119">
        <v>0</v>
      </c>
      <c r="W62" s="194" t="s">
        <v>139</v>
      </c>
      <c r="X62" s="73"/>
      <c r="Y62" s="121"/>
    </row>
    <row r="63" spans="1:25" ht="30" hidden="1" x14ac:dyDescent="0.25">
      <c r="A63" s="121" t="s">
        <v>117</v>
      </c>
      <c r="B63" s="245" t="s">
        <v>193</v>
      </c>
      <c r="C63" s="117"/>
      <c r="D63" s="117"/>
      <c r="E63" s="111"/>
      <c r="F63" s="111"/>
      <c r="G63" s="111"/>
      <c r="H63" s="110"/>
      <c r="I63" s="110"/>
      <c r="J63" s="111"/>
      <c r="K63" s="118"/>
      <c r="L63" s="118"/>
      <c r="M63" s="118"/>
      <c r="N63" s="123"/>
      <c r="O63" s="113"/>
      <c r="P63" s="114"/>
      <c r="Q63" s="114"/>
      <c r="R63" s="169"/>
      <c r="S63" s="124"/>
      <c r="T63" s="124"/>
      <c r="U63" s="119">
        <v>360059076</v>
      </c>
      <c r="V63" s="119">
        <v>0</v>
      </c>
      <c r="W63" s="194" t="s">
        <v>139</v>
      </c>
      <c r="X63" s="73"/>
      <c r="Y63" s="121"/>
    </row>
    <row r="64" spans="1:25" ht="16.5" hidden="1" customHeight="1" x14ac:dyDescent="0.25">
      <c r="A64" s="121" t="s">
        <v>117</v>
      </c>
      <c r="B64" s="117" t="s">
        <v>194</v>
      </c>
      <c r="C64" s="117"/>
      <c r="D64" s="117"/>
      <c r="E64" s="111"/>
      <c r="F64" s="111"/>
      <c r="G64" s="111"/>
      <c r="H64" s="110"/>
      <c r="I64" s="110"/>
      <c r="J64" s="111"/>
      <c r="K64" s="118"/>
      <c r="L64" s="118"/>
      <c r="M64" s="118"/>
      <c r="N64" s="123"/>
      <c r="O64" s="113"/>
      <c r="P64" s="114"/>
      <c r="Q64" s="114"/>
      <c r="R64" s="169"/>
      <c r="S64" s="124"/>
      <c r="T64" s="124"/>
      <c r="U64" s="119">
        <v>509409845</v>
      </c>
      <c r="V64" s="119">
        <v>0</v>
      </c>
      <c r="W64" s="194" t="s">
        <v>139</v>
      </c>
      <c r="X64" s="73"/>
      <c r="Y64" s="121"/>
    </row>
    <row r="65" spans="1:25" ht="16.5" hidden="1" customHeight="1" x14ac:dyDescent="0.25">
      <c r="A65" s="121" t="s">
        <v>117</v>
      </c>
      <c r="B65" s="117" t="s">
        <v>195</v>
      </c>
      <c r="C65" s="117"/>
      <c r="D65" s="117"/>
      <c r="E65" s="111"/>
      <c r="F65" s="111"/>
      <c r="G65" s="111"/>
      <c r="H65" s="110"/>
      <c r="I65" s="110"/>
      <c r="J65" s="111"/>
      <c r="K65" s="118"/>
      <c r="L65" s="118"/>
      <c r="M65" s="118"/>
      <c r="N65" s="123"/>
      <c r="O65" s="113"/>
      <c r="P65" s="114"/>
      <c r="Q65" s="114"/>
      <c r="R65" s="169"/>
      <c r="S65" s="124"/>
      <c r="T65" s="124"/>
      <c r="U65" s="119">
        <v>1734272495</v>
      </c>
      <c r="V65" s="119">
        <v>0</v>
      </c>
      <c r="W65" s="194" t="s">
        <v>139</v>
      </c>
      <c r="X65" s="73"/>
      <c r="Y65" s="121"/>
    </row>
    <row r="66" spans="1:25" ht="16.5" hidden="1" customHeight="1" x14ac:dyDescent="0.25">
      <c r="A66" s="121" t="s">
        <v>117</v>
      </c>
      <c r="B66" s="117" t="s">
        <v>196</v>
      </c>
      <c r="C66" s="117"/>
      <c r="D66" s="117"/>
      <c r="E66" s="111"/>
      <c r="F66" s="111"/>
      <c r="G66" s="111"/>
      <c r="H66" s="110"/>
      <c r="I66" s="110"/>
      <c r="J66" s="111"/>
      <c r="K66" s="118"/>
      <c r="L66" s="118"/>
      <c r="M66" s="118"/>
      <c r="N66" s="123"/>
      <c r="O66" s="113"/>
      <c r="P66" s="114"/>
      <c r="Q66" s="114"/>
      <c r="R66" s="169"/>
      <c r="S66" s="124"/>
      <c r="T66" s="124"/>
      <c r="U66" s="119">
        <v>331148000</v>
      </c>
      <c r="V66" s="119">
        <v>0</v>
      </c>
      <c r="W66" s="194" t="s">
        <v>139</v>
      </c>
      <c r="X66" s="73"/>
      <c r="Y66" s="121"/>
    </row>
    <row r="67" spans="1:25" ht="16.5" hidden="1" customHeight="1" x14ac:dyDescent="0.25">
      <c r="A67" s="121" t="s">
        <v>117</v>
      </c>
      <c r="B67" s="117" t="s">
        <v>197</v>
      </c>
      <c r="C67" s="117"/>
      <c r="D67" s="117"/>
      <c r="E67" s="111"/>
      <c r="F67" s="111"/>
      <c r="G67" s="111"/>
      <c r="H67" s="110"/>
      <c r="I67" s="110"/>
      <c r="J67" s="111"/>
      <c r="K67" s="118"/>
      <c r="L67" s="118"/>
      <c r="M67" s="118"/>
      <c r="N67" s="123"/>
      <c r="O67" s="113"/>
      <c r="P67" s="114"/>
      <c r="Q67" s="114"/>
      <c r="R67" s="169"/>
      <c r="S67" s="124"/>
      <c r="T67" s="124"/>
      <c r="U67" s="119">
        <v>458271000</v>
      </c>
      <c r="V67" s="119">
        <v>0</v>
      </c>
      <c r="W67" s="194" t="s">
        <v>139</v>
      </c>
      <c r="X67" s="73"/>
      <c r="Y67" s="121"/>
    </row>
    <row r="68" spans="1:25" ht="16.5" hidden="1" customHeight="1" x14ac:dyDescent="0.25">
      <c r="A68" s="121" t="s">
        <v>117</v>
      </c>
      <c r="B68" s="117" t="s">
        <v>198</v>
      </c>
      <c r="C68" s="117"/>
      <c r="D68" s="117"/>
      <c r="E68" s="111"/>
      <c r="F68" s="111"/>
      <c r="G68" s="111"/>
      <c r="H68" s="110"/>
      <c r="I68" s="110"/>
      <c r="J68" s="111"/>
      <c r="K68" s="118"/>
      <c r="L68" s="118"/>
      <c r="M68" s="118"/>
      <c r="N68" s="123"/>
      <c r="O68" s="113"/>
      <c r="P68" s="114"/>
      <c r="Q68" s="114"/>
      <c r="R68" s="169"/>
      <c r="S68" s="124"/>
      <c r="T68" s="124"/>
      <c r="U68" s="119">
        <v>161163845</v>
      </c>
      <c r="V68" s="119">
        <v>0</v>
      </c>
      <c r="W68" s="194" t="s">
        <v>139</v>
      </c>
      <c r="X68" s="73"/>
      <c r="Y68" s="121"/>
    </row>
    <row r="69" spans="1:25" ht="16.5" hidden="1" customHeight="1" x14ac:dyDescent="0.25">
      <c r="A69" s="121" t="s">
        <v>117</v>
      </c>
      <c r="B69" s="117" t="s">
        <v>199</v>
      </c>
      <c r="C69" s="117"/>
      <c r="D69" s="117"/>
      <c r="E69" s="111"/>
      <c r="F69" s="111"/>
      <c r="G69" s="111"/>
      <c r="H69" s="110"/>
      <c r="I69" s="110"/>
      <c r="J69" s="111"/>
      <c r="K69" s="118"/>
      <c r="L69" s="118"/>
      <c r="M69" s="118"/>
      <c r="N69" s="123"/>
      <c r="O69" s="113"/>
      <c r="P69" s="114"/>
      <c r="Q69" s="114"/>
      <c r="R69" s="169"/>
      <c r="S69" s="124"/>
      <c r="T69" s="124"/>
      <c r="U69" s="119">
        <v>113361643</v>
      </c>
      <c r="V69" s="119">
        <v>0</v>
      </c>
      <c r="W69" s="194" t="s">
        <v>139</v>
      </c>
      <c r="X69" s="73"/>
      <c r="Y69" s="121"/>
    </row>
    <row r="70" spans="1:25" s="116" customFormat="1" ht="45" x14ac:dyDescent="0.2">
      <c r="A70" s="282">
        <v>5</v>
      </c>
      <c r="B70" s="294" t="s">
        <v>66</v>
      </c>
      <c r="C70" s="297"/>
      <c r="D70" s="297"/>
      <c r="E70" s="297"/>
      <c r="F70" s="297"/>
      <c r="G70" s="297"/>
      <c r="H70" s="297"/>
      <c r="I70" s="297"/>
      <c r="J70" s="297"/>
      <c r="K70" s="297"/>
      <c r="L70" s="297"/>
      <c r="M70" s="297"/>
      <c r="N70" s="297"/>
      <c r="O70" s="297"/>
      <c r="P70" s="297"/>
      <c r="Q70" s="297"/>
      <c r="R70" s="297"/>
      <c r="S70" s="297"/>
      <c r="T70" s="297"/>
      <c r="U70" s="297"/>
      <c r="V70" s="297"/>
      <c r="W70" s="298"/>
      <c r="X70" s="256" t="s">
        <v>217</v>
      </c>
      <c r="Y70" s="222" t="s">
        <v>152</v>
      </c>
    </row>
    <row r="71" spans="1:25" s="116" customFormat="1" ht="14.25" hidden="1" x14ac:dyDescent="0.2">
      <c r="A71" s="282"/>
      <c r="B71" s="150" t="s">
        <v>10</v>
      </c>
      <c r="C71" s="150"/>
      <c r="D71" s="150"/>
      <c r="E71" s="109">
        <f>SUM(F71:G71)</f>
        <v>2264.1</v>
      </c>
      <c r="F71" s="109">
        <v>2264.1</v>
      </c>
      <c r="G71" s="109"/>
      <c r="H71" s="130">
        <v>924000</v>
      </c>
      <c r="I71" s="130">
        <f>+H71*$I$6</f>
        <v>660000</v>
      </c>
      <c r="J71" s="109">
        <v>1</v>
      </c>
      <c r="K71" s="112">
        <f>SUM(L71:M71)</f>
        <v>1494306000</v>
      </c>
      <c r="L71" s="112">
        <f>F71*I71*J71</f>
        <v>1494306000</v>
      </c>
      <c r="M71" s="112"/>
      <c r="N71" s="131"/>
      <c r="O71" s="113"/>
      <c r="P71" s="114"/>
      <c r="Q71" s="114"/>
      <c r="R71" s="129"/>
      <c r="S71" s="155"/>
      <c r="T71" s="155"/>
      <c r="U71" s="114"/>
      <c r="V71" s="114"/>
      <c r="W71" s="115"/>
      <c r="X71" s="98"/>
      <c r="Y71" s="101"/>
    </row>
    <row r="72" spans="1:25" s="116" customFormat="1" ht="14.25" hidden="1" x14ac:dyDescent="0.2">
      <c r="A72" s="282"/>
      <c r="B72" s="150" t="s">
        <v>11</v>
      </c>
      <c r="C72" s="150"/>
      <c r="D72" s="150"/>
      <c r="E72" s="109">
        <f>SUM(F72:G72)</f>
        <v>528.40000000000009</v>
      </c>
      <c r="F72" s="109">
        <v>528.40000000000009</v>
      </c>
      <c r="G72" s="109"/>
      <c r="H72" s="130">
        <f>+H71*0.4</f>
        <v>369600</v>
      </c>
      <c r="I72" s="130">
        <f>+H72*$I$6</f>
        <v>264000</v>
      </c>
      <c r="J72" s="109">
        <v>1</v>
      </c>
      <c r="K72" s="112">
        <f>SUM(L72:M72)</f>
        <v>139497600.00000003</v>
      </c>
      <c r="L72" s="112">
        <f>F72*I72*J72</f>
        <v>139497600.00000003</v>
      </c>
      <c r="M72" s="112"/>
      <c r="N72" s="131"/>
      <c r="O72" s="113"/>
      <c r="P72" s="114"/>
      <c r="Q72" s="114"/>
      <c r="R72" s="129"/>
      <c r="S72" s="155"/>
      <c r="T72" s="155"/>
      <c r="U72" s="114"/>
      <c r="V72" s="114"/>
      <c r="W72" s="115"/>
      <c r="X72" s="98"/>
      <c r="Y72" s="101"/>
    </row>
    <row r="73" spans="1:25" s="116" customFormat="1" ht="14.25" x14ac:dyDescent="0.2">
      <c r="A73" s="101" t="s">
        <v>169</v>
      </c>
      <c r="B73" s="150" t="s">
        <v>50</v>
      </c>
      <c r="C73" s="150"/>
      <c r="D73" s="150"/>
      <c r="E73" s="109">
        <f>+'cập nhật giá trị QSDĐ'!D21</f>
        <v>2792.5</v>
      </c>
      <c r="F73" s="109"/>
      <c r="G73" s="109"/>
      <c r="H73" s="130"/>
      <c r="I73" s="130"/>
      <c r="J73" s="109"/>
      <c r="K73" s="112"/>
      <c r="L73" s="112"/>
      <c r="M73" s="112"/>
      <c r="N73" s="131"/>
      <c r="O73" s="113"/>
      <c r="P73" s="114"/>
      <c r="Q73" s="114"/>
      <c r="R73" s="129"/>
      <c r="S73" s="155"/>
      <c r="T73" s="155"/>
      <c r="U73" s="114">
        <f>+'cập nhật giá trị QSDĐ'!J21</f>
        <v>3812208400</v>
      </c>
      <c r="V73" s="114">
        <f>+U73</f>
        <v>3812208400</v>
      </c>
      <c r="W73" s="115"/>
      <c r="X73" s="98"/>
      <c r="Y73" s="101"/>
    </row>
    <row r="74" spans="1:25" s="116" customFormat="1" ht="14.25" x14ac:dyDescent="0.2">
      <c r="A74" s="101" t="s">
        <v>170</v>
      </c>
      <c r="B74" s="150" t="s">
        <v>115</v>
      </c>
      <c r="C74" s="150"/>
      <c r="D74" s="150"/>
      <c r="E74" s="109"/>
      <c r="F74" s="109"/>
      <c r="G74" s="109"/>
      <c r="H74" s="130"/>
      <c r="I74" s="130"/>
      <c r="J74" s="109"/>
      <c r="K74" s="112"/>
      <c r="L74" s="112"/>
      <c r="M74" s="112"/>
      <c r="N74" s="131"/>
      <c r="O74" s="113"/>
      <c r="P74" s="114"/>
      <c r="Q74" s="114"/>
      <c r="R74" s="129"/>
      <c r="S74" s="155"/>
      <c r="T74" s="155"/>
      <c r="U74" s="114"/>
      <c r="V74" s="114"/>
      <c r="W74" s="115"/>
      <c r="X74" s="98"/>
      <c r="Y74" s="101"/>
    </row>
    <row r="75" spans="1:25" ht="16.5" customHeight="1" x14ac:dyDescent="0.25">
      <c r="A75" s="121" t="s">
        <v>117</v>
      </c>
      <c r="B75" s="117" t="s">
        <v>88</v>
      </c>
      <c r="C75" s="117"/>
      <c r="D75" s="117"/>
      <c r="E75" s="111"/>
      <c r="F75" s="111"/>
      <c r="G75" s="111"/>
      <c r="H75" s="110"/>
      <c r="I75" s="110"/>
      <c r="J75" s="111"/>
      <c r="K75" s="118"/>
      <c r="L75" s="118"/>
      <c r="M75" s="118"/>
      <c r="N75" s="123"/>
      <c r="O75" s="113"/>
      <c r="P75" s="114"/>
      <c r="Q75" s="114"/>
      <c r="R75" s="169">
        <v>2003</v>
      </c>
      <c r="S75" s="124">
        <v>1002</v>
      </c>
      <c r="T75" s="124">
        <v>788.4699999999998</v>
      </c>
      <c r="U75" s="119">
        <v>2982354000</v>
      </c>
      <c r="V75" s="119">
        <v>1938943480</v>
      </c>
      <c r="W75" s="194" t="s">
        <v>139</v>
      </c>
      <c r="X75" s="73"/>
      <c r="Y75" s="127"/>
    </row>
    <row r="76" spans="1:25" ht="16.5" customHeight="1" x14ac:dyDescent="0.25">
      <c r="A76" s="121" t="s">
        <v>117</v>
      </c>
      <c r="B76" s="117" t="s">
        <v>89</v>
      </c>
      <c r="C76" s="117"/>
      <c r="D76" s="117"/>
      <c r="E76" s="111"/>
      <c r="F76" s="111"/>
      <c r="G76" s="111"/>
      <c r="H76" s="110"/>
      <c r="I76" s="110"/>
      <c r="J76" s="111"/>
      <c r="K76" s="118"/>
      <c r="L76" s="118"/>
      <c r="M76" s="118"/>
      <c r="N76" s="123"/>
      <c r="O76" s="113"/>
      <c r="P76" s="114"/>
      <c r="Q76" s="114"/>
      <c r="R76" s="169">
        <v>2003</v>
      </c>
      <c r="S76" s="124">
        <v>151.19999999999999</v>
      </c>
      <c r="T76" s="124">
        <v>128.81</v>
      </c>
      <c r="U76" s="119">
        <v>236810000</v>
      </c>
      <c r="V76" s="119">
        <v>0</v>
      </c>
      <c r="W76" s="194" t="s">
        <v>139</v>
      </c>
      <c r="X76" s="73"/>
      <c r="Y76" s="121"/>
    </row>
    <row r="77" spans="1:25" ht="16.5" customHeight="1" x14ac:dyDescent="0.25">
      <c r="A77" s="121" t="s">
        <v>117</v>
      </c>
      <c r="B77" s="117" t="s">
        <v>200</v>
      </c>
      <c r="C77" s="117"/>
      <c r="D77" s="117"/>
      <c r="E77" s="111"/>
      <c r="F77" s="111"/>
      <c r="G77" s="111"/>
      <c r="H77" s="110"/>
      <c r="I77" s="110"/>
      <c r="J77" s="111"/>
      <c r="K77" s="118"/>
      <c r="L77" s="118"/>
      <c r="M77" s="118"/>
      <c r="N77" s="123"/>
      <c r="O77" s="113"/>
      <c r="P77" s="114"/>
      <c r="Q77" s="114"/>
      <c r="R77" s="169">
        <v>2003</v>
      </c>
      <c r="S77" s="124">
        <v>81</v>
      </c>
      <c r="T77" s="124">
        <v>75.260000000000005</v>
      </c>
      <c r="U77" s="119">
        <v>123836000</v>
      </c>
      <c r="V77" s="119">
        <v>0</v>
      </c>
      <c r="W77" s="194" t="s">
        <v>139</v>
      </c>
      <c r="X77" s="73"/>
      <c r="Y77" s="121"/>
    </row>
    <row r="78" spans="1:25" ht="16.5" customHeight="1" x14ac:dyDescent="0.25">
      <c r="A78" s="121" t="s">
        <v>117</v>
      </c>
      <c r="B78" s="117" t="s">
        <v>179</v>
      </c>
      <c r="C78" s="117"/>
      <c r="D78" s="117"/>
      <c r="E78" s="111"/>
      <c r="F78" s="111"/>
      <c r="G78" s="111"/>
      <c r="H78" s="110"/>
      <c r="I78" s="110"/>
      <c r="J78" s="111"/>
      <c r="K78" s="118"/>
      <c r="L78" s="118"/>
      <c r="M78" s="118"/>
      <c r="N78" s="123"/>
      <c r="O78" s="113"/>
      <c r="P78" s="114"/>
      <c r="Q78" s="114"/>
      <c r="R78" s="169">
        <v>2014</v>
      </c>
      <c r="S78" s="124">
        <v>85</v>
      </c>
      <c r="T78" s="124">
        <v>77.539999999999992</v>
      </c>
      <c r="U78" s="119">
        <v>371495000</v>
      </c>
      <c r="V78" s="119">
        <v>99065333</v>
      </c>
      <c r="W78" s="194" t="s">
        <v>139</v>
      </c>
      <c r="X78" s="73"/>
      <c r="Y78" s="121"/>
    </row>
    <row r="79" spans="1:25" s="97" customFormat="1" ht="71.25" hidden="1" x14ac:dyDescent="0.25">
      <c r="A79" s="101" t="s">
        <v>117</v>
      </c>
      <c r="B79" s="150" t="s">
        <v>90</v>
      </c>
      <c r="C79" s="151"/>
      <c r="D79" s="151"/>
      <c r="E79" s="152"/>
      <c r="F79" s="152"/>
      <c r="G79" s="152"/>
      <c r="H79" s="153"/>
      <c r="I79" s="153"/>
      <c r="J79" s="152"/>
      <c r="K79" s="129"/>
      <c r="L79" s="129"/>
      <c r="M79" s="129"/>
      <c r="N79" s="131"/>
      <c r="O79" s="128"/>
      <c r="P79" s="129"/>
      <c r="Q79" s="129"/>
      <c r="R79" s="169">
        <v>2014</v>
      </c>
      <c r="S79" s="152">
        <v>211.8</v>
      </c>
      <c r="T79" s="152">
        <v>200.71999999999997</v>
      </c>
      <c r="U79" s="129">
        <v>2377001000</v>
      </c>
      <c r="V79" s="129">
        <v>633866933</v>
      </c>
      <c r="W79" s="99" t="s">
        <v>103</v>
      </c>
      <c r="X79" s="99"/>
      <c r="Y79" s="99" t="s">
        <v>104</v>
      </c>
    </row>
    <row r="80" spans="1:25" s="97" customFormat="1" ht="30" x14ac:dyDescent="0.25">
      <c r="A80" s="101" t="s">
        <v>117</v>
      </c>
      <c r="B80" s="117" t="s">
        <v>91</v>
      </c>
      <c r="C80" s="151"/>
      <c r="D80" s="151"/>
      <c r="E80" s="152"/>
      <c r="F80" s="152"/>
      <c r="G80" s="152"/>
      <c r="H80" s="153"/>
      <c r="I80" s="153"/>
      <c r="J80" s="152"/>
      <c r="K80" s="129"/>
      <c r="L80" s="129"/>
      <c r="M80" s="129"/>
      <c r="N80" s="131"/>
      <c r="O80" s="128"/>
      <c r="P80" s="129"/>
      <c r="Q80" s="129"/>
      <c r="R80" s="169">
        <v>2014</v>
      </c>
      <c r="S80" s="228">
        <v>212</v>
      </c>
      <c r="T80" s="228">
        <v>200.72</v>
      </c>
      <c r="U80" s="230">
        <v>2377001000</v>
      </c>
      <c r="V80" s="230">
        <v>633866933</v>
      </c>
      <c r="W80" s="222" t="s">
        <v>222</v>
      </c>
      <c r="X80" s="246"/>
      <c r="Y80" s="99"/>
    </row>
    <row r="81" spans="1:25" s="116" customFormat="1" ht="45" x14ac:dyDescent="0.2">
      <c r="A81" s="282">
        <v>6</v>
      </c>
      <c r="B81" s="294" t="s">
        <v>113</v>
      </c>
      <c r="C81" s="297"/>
      <c r="D81" s="297"/>
      <c r="E81" s="297"/>
      <c r="F81" s="297"/>
      <c r="G81" s="297"/>
      <c r="H81" s="297"/>
      <c r="I81" s="297"/>
      <c r="J81" s="297"/>
      <c r="K81" s="297"/>
      <c r="L81" s="297"/>
      <c r="M81" s="297"/>
      <c r="N81" s="297"/>
      <c r="O81" s="297"/>
      <c r="P81" s="297"/>
      <c r="Q81" s="297"/>
      <c r="R81" s="297"/>
      <c r="S81" s="297"/>
      <c r="T81" s="297"/>
      <c r="U81" s="297"/>
      <c r="V81" s="297"/>
      <c r="W81" s="298"/>
      <c r="X81" s="256" t="s">
        <v>217</v>
      </c>
      <c r="Y81" s="254" t="s">
        <v>152</v>
      </c>
    </row>
    <row r="82" spans="1:25" s="116" customFormat="1" ht="14.25" hidden="1" x14ac:dyDescent="0.2">
      <c r="A82" s="282"/>
      <c r="B82" s="150" t="s">
        <v>10</v>
      </c>
      <c r="C82" s="150"/>
      <c r="D82" s="150"/>
      <c r="E82" s="109">
        <f>SUM(F82:G82)</f>
        <v>2829.1</v>
      </c>
      <c r="F82" s="109">
        <v>2829.1</v>
      </c>
      <c r="G82" s="109"/>
      <c r="H82" s="130">
        <v>3960000</v>
      </c>
      <c r="I82" s="130">
        <f t="shared" ref="I82:I90" si="0">+H82*$I$6</f>
        <v>2828571.4285714286</v>
      </c>
      <c r="J82" s="109">
        <v>1.2</v>
      </c>
      <c r="K82" s="112">
        <f>SUM(L82:M82)</f>
        <v>9602773714.2857132</v>
      </c>
      <c r="L82" s="112">
        <f>F82*I82*J82</f>
        <v>9602773714.2857132</v>
      </c>
      <c r="M82" s="112"/>
      <c r="N82" s="131"/>
      <c r="O82" s="113"/>
      <c r="P82" s="114"/>
      <c r="Q82" s="114"/>
      <c r="R82" s="129"/>
      <c r="S82" s="155"/>
      <c r="T82" s="155"/>
      <c r="U82" s="114"/>
      <c r="V82" s="114"/>
      <c r="W82" s="115"/>
      <c r="X82" s="98"/>
      <c r="Y82" s="101"/>
    </row>
    <row r="83" spans="1:25" s="116" customFormat="1" ht="14.25" hidden="1" x14ac:dyDescent="0.2">
      <c r="A83" s="282"/>
      <c r="B83" s="150" t="s">
        <v>11</v>
      </c>
      <c r="C83" s="150"/>
      <c r="D83" s="150"/>
      <c r="E83" s="109">
        <f>SUM(F83:G83)</f>
        <v>1967.6</v>
      </c>
      <c r="F83" s="109">
        <v>1967.6</v>
      </c>
      <c r="G83" s="109"/>
      <c r="H83" s="130">
        <f>+H82*4</f>
        <v>15840000</v>
      </c>
      <c r="I83" s="130">
        <f t="shared" si="0"/>
        <v>11314285.714285715</v>
      </c>
      <c r="J83" s="109">
        <v>1</v>
      </c>
      <c r="K83" s="112">
        <f>SUM(L83:M83)</f>
        <v>22261988571.42857</v>
      </c>
      <c r="L83" s="112">
        <f>F83*I83*J83</f>
        <v>22261988571.42857</v>
      </c>
      <c r="M83" s="112"/>
      <c r="N83" s="131"/>
      <c r="O83" s="113"/>
      <c r="P83" s="114"/>
      <c r="Q83" s="114"/>
      <c r="R83" s="129"/>
      <c r="S83" s="155"/>
      <c r="T83" s="155"/>
      <c r="U83" s="114"/>
      <c r="V83" s="114"/>
      <c r="W83" s="115"/>
      <c r="X83" s="98"/>
      <c r="Y83" s="101"/>
    </row>
    <row r="84" spans="1:25" s="116" customFormat="1" ht="14.25" x14ac:dyDescent="0.2">
      <c r="A84" s="101" t="s">
        <v>171</v>
      </c>
      <c r="B84" s="150" t="s">
        <v>50</v>
      </c>
      <c r="C84" s="150"/>
      <c r="D84" s="150"/>
      <c r="E84" s="109">
        <f>+'cập nhật giá trị QSDĐ'!D24</f>
        <v>4796.7</v>
      </c>
      <c r="F84" s="109"/>
      <c r="G84" s="109"/>
      <c r="H84" s="130"/>
      <c r="I84" s="130"/>
      <c r="J84" s="109"/>
      <c r="K84" s="112"/>
      <c r="L84" s="112"/>
      <c r="M84" s="112"/>
      <c r="N84" s="131"/>
      <c r="O84" s="113"/>
      <c r="P84" s="114"/>
      <c r="Q84" s="114"/>
      <c r="R84" s="129"/>
      <c r="S84" s="155"/>
      <c r="T84" s="155"/>
      <c r="U84" s="114">
        <f>+'cập nhật giá trị QSDĐ'!J24</f>
        <v>39728620000</v>
      </c>
      <c r="V84" s="114">
        <f>+U84</f>
        <v>39728620000</v>
      </c>
      <c r="W84" s="115"/>
      <c r="X84" s="98"/>
      <c r="Y84" s="101"/>
    </row>
    <row r="85" spans="1:25" s="116" customFormat="1" ht="14.25" x14ac:dyDescent="0.2">
      <c r="A85" s="101" t="s">
        <v>172</v>
      </c>
      <c r="B85" s="150" t="s">
        <v>115</v>
      </c>
      <c r="C85" s="150"/>
      <c r="D85" s="150"/>
      <c r="E85" s="109"/>
      <c r="F85" s="109"/>
      <c r="G85" s="109"/>
      <c r="H85" s="130"/>
      <c r="I85" s="130"/>
      <c r="J85" s="109"/>
      <c r="K85" s="112"/>
      <c r="L85" s="112"/>
      <c r="M85" s="112"/>
      <c r="N85" s="131"/>
      <c r="O85" s="113"/>
      <c r="P85" s="114"/>
      <c r="Q85" s="114"/>
      <c r="R85" s="129"/>
      <c r="S85" s="155"/>
      <c r="T85" s="155"/>
      <c r="U85" s="114"/>
      <c r="V85" s="114"/>
      <c r="W85" s="115"/>
      <c r="X85" s="98"/>
      <c r="Y85" s="101"/>
    </row>
    <row r="86" spans="1:25" ht="16.5" customHeight="1" x14ac:dyDescent="0.25">
      <c r="A86" s="121" t="s">
        <v>117</v>
      </c>
      <c r="B86" s="117" t="s">
        <v>93</v>
      </c>
      <c r="C86" s="117"/>
      <c r="D86" s="117"/>
      <c r="E86" s="111"/>
      <c r="F86" s="111"/>
      <c r="G86" s="111"/>
      <c r="H86" s="110"/>
      <c r="I86" s="110"/>
      <c r="J86" s="111"/>
      <c r="K86" s="118"/>
      <c r="L86" s="118"/>
      <c r="M86" s="118"/>
      <c r="N86" s="123"/>
      <c r="O86" s="113"/>
      <c r="P86" s="114"/>
      <c r="Q86" s="125">
        <v>2002</v>
      </c>
      <c r="R86" s="169">
        <v>2004</v>
      </c>
      <c r="S86" s="124">
        <v>2492.1</v>
      </c>
      <c r="T86" s="124">
        <v>2168.1</v>
      </c>
      <c r="U86" s="119">
        <v>8471698279</v>
      </c>
      <c r="V86" s="119">
        <v>2909836842</v>
      </c>
      <c r="W86" s="194" t="s">
        <v>139</v>
      </c>
      <c r="X86" s="73"/>
      <c r="Y86" s="121"/>
    </row>
    <row r="87" spans="1:25" ht="16.5" customHeight="1" x14ac:dyDescent="0.25">
      <c r="A87" s="121" t="s">
        <v>117</v>
      </c>
      <c r="B87" s="117" t="s">
        <v>92</v>
      </c>
      <c r="C87" s="117"/>
      <c r="D87" s="117"/>
      <c r="E87" s="111"/>
      <c r="F87" s="111"/>
      <c r="G87" s="111"/>
      <c r="H87" s="110"/>
      <c r="I87" s="110"/>
      <c r="J87" s="111"/>
      <c r="K87" s="118"/>
      <c r="L87" s="118"/>
      <c r="M87" s="118"/>
      <c r="N87" s="123"/>
      <c r="O87" s="113"/>
      <c r="P87" s="114"/>
      <c r="Q87" s="125">
        <v>2002</v>
      </c>
      <c r="R87" s="169">
        <v>2004</v>
      </c>
      <c r="S87" s="124">
        <v>331.2</v>
      </c>
      <c r="T87" s="124">
        <v>304.7</v>
      </c>
      <c r="U87" s="119">
        <v>420094721</v>
      </c>
      <c r="V87" s="119">
        <v>0</v>
      </c>
      <c r="W87" s="194" t="s">
        <v>139</v>
      </c>
      <c r="X87" s="73"/>
      <c r="Y87" s="121"/>
    </row>
    <row r="88" spans="1:25" s="116" customFormat="1" ht="45" x14ac:dyDescent="0.2">
      <c r="A88" s="282">
        <v>7</v>
      </c>
      <c r="B88" s="294" t="s">
        <v>114</v>
      </c>
      <c r="C88" s="297"/>
      <c r="D88" s="297"/>
      <c r="E88" s="297"/>
      <c r="F88" s="297"/>
      <c r="G88" s="297"/>
      <c r="H88" s="297"/>
      <c r="I88" s="297"/>
      <c r="J88" s="297"/>
      <c r="K88" s="297"/>
      <c r="L88" s="297"/>
      <c r="M88" s="297"/>
      <c r="N88" s="297"/>
      <c r="O88" s="297"/>
      <c r="P88" s="297"/>
      <c r="Q88" s="297"/>
      <c r="R88" s="297"/>
      <c r="S88" s="297"/>
      <c r="T88" s="297"/>
      <c r="U88" s="297"/>
      <c r="V88" s="297"/>
      <c r="W88" s="298"/>
      <c r="X88" s="256" t="s">
        <v>217</v>
      </c>
      <c r="Y88" s="222" t="s">
        <v>152</v>
      </c>
    </row>
    <row r="89" spans="1:25" s="116" customFormat="1" ht="14.25" hidden="1" x14ac:dyDescent="0.2">
      <c r="A89" s="282"/>
      <c r="B89" s="150" t="s">
        <v>10</v>
      </c>
      <c r="C89" s="150"/>
      <c r="D89" s="150"/>
      <c r="E89" s="109">
        <f>SUM(F89:G89)</f>
        <v>5362</v>
      </c>
      <c r="F89" s="156">
        <v>5362</v>
      </c>
      <c r="G89" s="109"/>
      <c r="H89" s="130">
        <v>1800000</v>
      </c>
      <c r="I89" s="130">
        <f t="shared" si="0"/>
        <v>1285714.2857142857</v>
      </c>
      <c r="J89" s="109">
        <v>1</v>
      </c>
      <c r="K89" s="112">
        <f>SUM(L89:M89)</f>
        <v>6894000000</v>
      </c>
      <c r="L89" s="112">
        <f>F89*I89*J89</f>
        <v>6894000000</v>
      </c>
      <c r="M89" s="112"/>
      <c r="N89" s="131"/>
      <c r="O89" s="113"/>
      <c r="P89" s="114"/>
      <c r="Q89" s="114"/>
      <c r="R89" s="129"/>
      <c r="S89" s="155"/>
      <c r="T89" s="155"/>
      <c r="U89" s="114"/>
      <c r="V89" s="114"/>
      <c r="W89" s="115"/>
      <c r="X89" s="98"/>
      <c r="Y89" s="101"/>
    </row>
    <row r="90" spans="1:25" s="116" customFormat="1" ht="14.25" hidden="1" x14ac:dyDescent="0.2">
      <c r="A90" s="282"/>
      <c r="B90" s="150" t="s">
        <v>11</v>
      </c>
      <c r="C90" s="150"/>
      <c r="D90" s="150"/>
      <c r="E90" s="109">
        <f>SUM(F90:G90)</f>
        <v>2618</v>
      </c>
      <c r="F90" s="157">
        <v>2618</v>
      </c>
      <c r="G90" s="109"/>
      <c r="H90" s="130">
        <f>+H89*0.4</f>
        <v>720000</v>
      </c>
      <c r="I90" s="130">
        <f t="shared" si="0"/>
        <v>514285.71428571432</v>
      </c>
      <c r="J90" s="109">
        <v>1</v>
      </c>
      <c r="K90" s="112">
        <f>SUM(L90:M90)</f>
        <v>1346400000</v>
      </c>
      <c r="L90" s="112">
        <f>F90*I90*J90</f>
        <v>1346400000</v>
      </c>
      <c r="M90" s="112"/>
      <c r="N90" s="131"/>
      <c r="O90" s="113"/>
      <c r="P90" s="114"/>
      <c r="Q90" s="114"/>
      <c r="R90" s="129"/>
      <c r="S90" s="155"/>
      <c r="T90" s="155"/>
      <c r="U90" s="114"/>
      <c r="V90" s="114"/>
      <c r="W90" s="115"/>
      <c r="X90" s="98"/>
      <c r="Y90" s="101"/>
    </row>
    <row r="91" spans="1:25" s="116" customFormat="1" ht="14.25" x14ac:dyDescent="0.2">
      <c r="A91" s="101" t="s">
        <v>173</v>
      </c>
      <c r="B91" s="150" t="s">
        <v>50</v>
      </c>
      <c r="C91" s="150"/>
      <c r="D91" s="150"/>
      <c r="E91" s="109">
        <f>+'cập nhật giá trị QSDĐ'!D27</f>
        <v>5785.3</v>
      </c>
      <c r="F91" s="157"/>
      <c r="G91" s="109"/>
      <c r="H91" s="130"/>
      <c r="I91" s="130"/>
      <c r="J91" s="109"/>
      <c r="K91" s="112"/>
      <c r="L91" s="112"/>
      <c r="M91" s="112"/>
      <c r="N91" s="131"/>
      <c r="O91" s="113"/>
      <c r="P91" s="114"/>
      <c r="Q91" s="114"/>
      <c r="R91" s="129"/>
      <c r="S91" s="155"/>
      <c r="T91" s="155"/>
      <c r="U91" s="114">
        <f>+'cập nhật giá trị QSDĐ'!J27</f>
        <v>19359620000</v>
      </c>
      <c r="V91" s="114">
        <f>+U91</f>
        <v>19359620000</v>
      </c>
      <c r="W91" s="115"/>
      <c r="X91" s="98"/>
      <c r="Y91" s="101"/>
    </row>
    <row r="92" spans="1:25" s="116" customFormat="1" ht="14.25" x14ac:dyDescent="0.2">
      <c r="A92" s="101" t="s">
        <v>174</v>
      </c>
      <c r="B92" s="150" t="s">
        <v>115</v>
      </c>
      <c r="C92" s="150"/>
      <c r="D92" s="150"/>
      <c r="E92" s="109"/>
      <c r="F92" s="157"/>
      <c r="G92" s="109"/>
      <c r="H92" s="130"/>
      <c r="I92" s="130"/>
      <c r="J92" s="109"/>
      <c r="K92" s="112"/>
      <c r="L92" s="112"/>
      <c r="M92" s="112"/>
      <c r="N92" s="131"/>
      <c r="O92" s="113"/>
      <c r="P92" s="114"/>
      <c r="Q92" s="114"/>
      <c r="R92" s="129"/>
      <c r="S92" s="155">
        <f>SUM(S93:S95)</f>
        <v>2527</v>
      </c>
      <c r="T92" s="155">
        <f>SUM(T93:T95)</f>
        <v>2230.11</v>
      </c>
      <c r="U92" s="114">
        <f>SUM(U93:U95)</f>
        <v>27002582000</v>
      </c>
      <c r="V92" s="114">
        <f>SUM(V93:V95)</f>
        <v>11881136520</v>
      </c>
      <c r="W92" s="115"/>
      <c r="X92" s="98"/>
      <c r="Y92" s="101"/>
    </row>
    <row r="93" spans="1:25" ht="16.5" customHeight="1" x14ac:dyDescent="0.25">
      <c r="A93" s="121" t="s">
        <v>117</v>
      </c>
      <c r="B93" s="117" t="s">
        <v>96</v>
      </c>
      <c r="C93" s="117"/>
      <c r="D93" s="117"/>
      <c r="E93" s="111"/>
      <c r="F93" s="132"/>
      <c r="G93" s="111"/>
      <c r="H93" s="110"/>
      <c r="I93" s="110"/>
      <c r="J93" s="111"/>
      <c r="K93" s="118"/>
      <c r="L93" s="118"/>
      <c r="M93" s="118"/>
      <c r="N93" s="123"/>
      <c r="O93" s="113"/>
      <c r="P93" s="114"/>
      <c r="Q93" s="125">
        <v>2011</v>
      </c>
      <c r="R93" s="169">
        <v>2012</v>
      </c>
      <c r="S93" s="124">
        <v>1823</v>
      </c>
      <c r="T93" s="124">
        <v>1586.01</v>
      </c>
      <c r="U93" s="119">
        <v>19479900000</v>
      </c>
      <c r="V93" s="119">
        <v>11460109320</v>
      </c>
      <c r="W93" s="194" t="s">
        <v>139</v>
      </c>
      <c r="X93" s="73"/>
      <c r="Y93" s="127"/>
    </row>
    <row r="94" spans="1:25" ht="16.5" customHeight="1" x14ac:dyDescent="0.25">
      <c r="A94" s="121" t="s">
        <v>117</v>
      </c>
      <c r="B94" s="117" t="s">
        <v>94</v>
      </c>
      <c r="C94" s="117"/>
      <c r="D94" s="117"/>
      <c r="E94" s="111"/>
      <c r="F94" s="132"/>
      <c r="G94" s="111"/>
      <c r="H94" s="110"/>
      <c r="I94" s="110"/>
      <c r="J94" s="111"/>
      <c r="K94" s="118"/>
      <c r="L94" s="118"/>
      <c r="M94" s="118"/>
      <c r="N94" s="123"/>
      <c r="O94" s="113"/>
      <c r="P94" s="114"/>
      <c r="Q94" s="125">
        <v>2011</v>
      </c>
      <c r="R94" s="169">
        <v>2012</v>
      </c>
      <c r="S94" s="124">
        <v>352</v>
      </c>
      <c r="T94" s="124">
        <v>320.3</v>
      </c>
      <c r="U94" s="119">
        <v>3761341000</v>
      </c>
      <c r="V94" s="119">
        <v>210513600</v>
      </c>
      <c r="W94" s="194" t="s">
        <v>139</v>
      </c>
      <c r="X94" s="73"/>
      <c r="Y94" s="121"/>
    </row>
    <row r="95" spans="1:25" ht="16.5" customHeight="1" x14ac:dyDescent="0.25">
      <c r="A95" s="121" t="s">
        <v>117</v>
      </c>
      <c r="B95" s="117" t="s">
        <v>95</v>
      </c>
      <c r="C95" s="117"/>
      <c r="D95" s="117"/>
      <c r="E95" s="111"/>
      <c r="F95" s="132"/>
      <c r="G95" s="111"/>
      <c r="H95" s="110"/>
      <c r="I95" s="110"/>
      <c r="J95" s="111"/>
      <c r="K95" s="118"/>
      <c r="L95" s="118"/>
      <c r="M95" s="118"/>
      <c r="N95" s="123"/>
      <c r="O95" s="113"/>
      <c r="P95" s="114"/>
      <c r="Q95" s="125">
        <v>2011</v>
      </c>
      <c r="R95" s="169">
        <v>2012</v>
      </c>
      <c r="S95" s="124">
        <v>352</v>
      </c>
      <c r="T95" s="124">
        <v>323.8</v>
      </c>
      <c r="U95" s="119">
        <f>+U94</f>
        <v>3761341000</v>
      </c>
      <c r="V95" s="119">
        <f>+V94</f>
        <v>210513600</v>
      </c>
      <c r="W95" s="194" t="s">
        <v>139</v>
      </c>
      <c r="X95" s="73"/>
      <c r="Y95" s="121"/>
    </row>
    <row r="96" spans="1:25" x14ac:dyDescent="0.25">
      <c r="A96" s="97"/>
      <c r="B96" s="133"/>
      <c r="C96" s="133"/>
      <c r="D96" s="133"/>
      <c r="E96" s="134"/>
      <c r="F96" s="135"/>
      <c r="G96" s="134"/>
      <c r="H96" s="136"/>
      <c r="I96" s="136"/>
      <c r="J96" s="134"/>
      <c r="K96" s="137"/>
      <c r="L96" s="137"/>
      <c r="M96" s="137"/>
      <c r="N96" s="138"/>
      <c r="O96" s="139"/>
      <c r="P96" s="139"/>
      <c r="Q96" s="139"/>
      <c r="R96" s="170"/>
    </row>
    <row r="97" spans="1:20" x14ac:dyDescent="0.25">
      <c r="B97" s="95" t="s">
        <v>221</v>
      </c>
    </row>
    <row r="98" spans="1:20" x14ac:dyDescent="0.25">
      <c r="A98" s="140"/>
    </row>
    <row r="99" spans="1:20" ht="15.75" thickBot="1" x14ac:dyDescent="0.3">
      <c r="R99" s="171"/>
      <c r="S99" s="243"/>
      <c r="T99" s="243"/>
    </row>
    <row r="100" spans="1:20" ht="15.75" thickBot="1" x14ac:dyDescent="0.3">
      <c r="J100" s="143"/>
      <c r="K100" s="144"/>
      <c r="L100" s="96"/>
      <c r="M100" s="145"/>
      <c r="O100" s="146"/>
      <c r="P100" s="147"/>
      <c r="R100" s="172"/>
    </row>
    <row r="101" spans="1:20" x14ac:dyDescent="0.25">
      <c r="J101" s="148"/>
      <c r="L101" s="146"/>
      <c r="M101" s="146"/>
      <c r="P101" s="147"/>
      <c r="Q101" s="147"/>
      <c r="R101" s="172"/>
    </row>
    <row r="102" spans="1:20" x14ac:dyDescent="0.25">
      <c r="I102" s="146"/>
      <c r="L102" s="146"/>
      <c r="Q102" s="146"/>
    </row>
    <row r="103" spans="1:20" x14ac:dyDescent="0.25">
      <c r="I103" s="96"/>
      <c r="J103" s="146"/>
      <c r="K103" s="146"/>
      <c r="M103" s="146"/>
      <c r="O103" s="96"/>
      <c r="R103" s="172"/>
    </row>
    <row r="104" spans="1:20" x14ac:dyDescent="0.25">
      <c r="K104" s="96"/>
      <c r="L104" s="96"/>
      <c r="R104" s="173"/>
    </row>
    <row r="105" spans="1:20" x14ac:dyDescent="0.25">
      <c r="L105" s="146"/>
    </row>
  </sheetData>
  <mergeCells count="16">
    <mergeCell ref="B33:W33"/>
    <mergeCell ref="B50:W50"/>
    <mergeCell ref="B70:W70"/>
    <mergeCell ref="B81:W81"/>
    <mergeCell ref="B88:W88"/>
    <mergeCell ref="A1:F1"/>
    <mergeCell ref="A3:Y3"/>
    <mergeCell ref="A7:A9"/>
    <mergeCell ref="A27:A28"/>
    <mergeCell ref="B7:W9"/>
    <mergeCell ref="B27:W29"/>
    <mergeCell ref="A33:A35"/>
    <mergeCell ref="A50:A53"/>
    <mergeCell ref="A70:A72"/>
    <mergeCell ref="A81:A83"/>
    <mergeCell ref="A88:A90"/>
  </mergeCells>
  <phoneticPr fontId="25" type="noConversion"/>
  <pageMargins left="0.31496062992125984" right="0.31496062992125984" top="0.35433070866141736" bottom="0.15748031496062992" header="0.31496062992125984" footer="0.31496062992125984"/>
  <pageSetup paperSize="9" scale="61" orientation="landscape" verticalDpi="0" r:id="rId1"/>
  <rowBreaks count="1" manualBreakCount="1">
    <brk id="80" max="2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Y93"/>
  <sheetViews>
    <sheetView view="pageBreakPreview" zoomScaleNormal="100" zoomScaleSheetLayoutView="100" workbookViewId="0">
      <pane xSplit="2" ySplit="6" topLeftCell="C19" activePane="bottomRight" state="frozen"/>
      <selection pane="topRight" activeCell="C1" sqref="C1"/>
      <selection pane="bottomLeft" activeCell="A9" sqref="A9"/>
      <selection pane="bottomRight" activeCell="R50" sqref="R50"/>
    </sheetView>
  </sheetViews>
  <sheetFormatPr defaultColWidth="9.140625" defaultRowHeight="15" x14ac:dyDescent="0.25"/>
  <cols>
    <col min="1" max="1" width="4.42578125" style="97" customWidth="1"/>
    <col min="2" max="2" width="25.7109375" style="95" hidden="1" customWidth="1"/>
    <col min="3" max="3" width="19.85546875" style="95" customWidth="1"/>
    <col min="4" max="4" width="21.7109375" style="95" customWidth="1"/>
    <col min="5" max="5" width="11.85546875" style="95" customWidth="1"/>
    <col min="6" max="6" width="12.5703125" style="95" hidden="1" customWidth="1"/>
    <col min="7" max="7" width="10" style="95" hidden="1" customWidth="1"/>
    <col min="8" max="9" width="13.5703125" style="95" hidden="1" customWidth="1"/>
    <col min="10" max="10" width="15.7109375" style="95" hidden="1" customWidth="1"/>
    <col min="11" max="11" width="16.85546875" style="95" hidden="1" customWidth="1"/>
    <col min="12" max="12" width="15.5703125" style="95" hidden="1" customWidth="1"/>
    <col min="13" max="13" width="14" style="95" hidden="1" customWidth="1"/>
    <col min="14" max="14" width="25.85546875" style="95" hidden="1" customWidth="1"/>
    <col min="15" max="15" width="15.7109375" style="95" hidden="1" customWidth="1"/>
    <col min="16" max="16" width="18.85546875" style="95" hidden="1" customWidth="1"/>
    <col min="17" max="17" width="9.5703125" style="95" customWidth="1"/>
    <col min="18" max="18" width="9.7109375" style="214" customWidth="1"/>
    <col min="19" max="19" width="12" style="96" customWidth="1"/>
    <col min="20" max="20" width="12.42578125" style="95" customWidth="1"/>
    <col min="21" max="21" width="18.42578125" style="96" customWidth="1"/>
    <col min="22" max="22" width="18.7109375" style="96" customWidth="1"/>
    <col min="23" max="23" width="20" style="95" customWidth="1"/>
    <col min="24" max="24" width="17.42578125" style="95" customWidth="1"/>
    <col min="25" max="25" width="18.28515625" style="97" customWidth="1"/>
    <col min="26" max="26" width="9.28515625" style="95" bestFit="1" customWidth="1"/>
    <col min="27" max="16384" width="9.140625" style="95"/>
  </cols>
  <sheetData>
    <row r="1" spans="1:25" x14ac:dyDescent="0.25">
      <c r="A1" s="305" t="s">
        <v>8</v>
      </c>
      <c r="B1" s="305"/>
      <c r="C1" s="305"/>
      <c r="D1" s="305"/>
      <c r="E1" s="213"/>
      <c r="F1" s="213"/>
    </row>
    <row r="3" spans="1:25" x14ac:dyDescent="0.25">
      <c r="A3" s="305" t="s">
        <v>178</v>
      </c>
      <c r="B3" s="305"/>
      <c r="C3" s="305"/>
      <c r="D3" s="305"/>
      <c r="E3" s="305"/>
      <c r="F3" s="305"/>
      <c r="G3" s="305"/>
      <c r="H3" s="305"/>
      <c r="I3" s="305"/>
      <c r="J3" s="305"/>
      <c r="K3" s="305"/>
      <c r="L3" s="305"/>
      <c r="M3" s="305"/>
      <c r="N3" s="305"/>
      <c r="O3" s="305"/>
      <c r="P3" s="305"/>
      <c r="Q3" s="305"/>
      <c r="R3" s="305"/>
      <c r="S3" s="305"/>
      <c r="T3" s="305"/>
      <c r="U3" s="305"/>
      <c r="V3" s="305"/>
      <c r="W3" s="305"/>
      <c r="X3" s="305"/>
      <c r="Y3" s="305"/>
    </row>
    <row r="5" spans="1:25" s="104" customFormat="1" ht="57" x14ac:dyDescent="0.25">
      <c r="A5" s="101" t="s">
        <v>6</v>
      </c>
      <c r="B5" s="99" t="s">
        <v>77</v>
      </c>
      <c r="C5" s="99" t="s">
        <v>79</v>
      </c>
      <c r="D5" s="99" t="s">
        <v>47</v>
      </c>
      <c r="E5" s="99" t="s">
        <v>153</v>
      </c>
      <c r="F5" s="99" t="s">
        <v>0</v>
      </c>
      <c r="G5" s="99" t="s">
        <v>1</v>
      </c>
      <c r="H5" s="99"/>
      <c r="I5" s="99"/>
      <c r="J5" s="99"/>
      <c r="K5" s="99" t="s">
        <v>13</v>
      </c>
      <c r="L5" s="99" t="s">
        <v>3</v>
      </c>
      <c r="M5" s="99" t="s">
        <v>4</v>
      </c>
      <c r="N5" s="101"/>
      <c r="O5" s="99"/>
      <c r="P5" s="99"/>
      <c r="Q5" s="99" t="s">
        <v>48</v>
      </c>
      <c r="R5" s="215" t="s">
        <v>31</v>
      </c>
      <c r="S5" s="103" t="s">
        <v>154</v>
      </c>
      <c r="T5" s="99" t="s">
        <v>155</v>
      </c>
      <c r="U5" s="103" t="s">
        <v>32</v>
      </c>
      <c r="V5" s="103" t="s">
        <v>75</v>
      </c>
      <c r="W5" s="99" t="s">
        <v>76</v>
      </c>
      <c r="X5" s="99" t="s">
        <v>176</v>
      </c>
      <c r="Y5" s="99" t="s">
        <v>12</v>
      </c>
    </row>
    <row r="6" spans="1:25" s="104" customFormat="1" hidden="1" x14ac:dyDescent="0.25">
      <c r="A6" s="121" t="s">
        <v>37</v>
      </c>
      <c r="B6" s="222" t="s">
        <v>38</v>
      </c>
      <c r="C6" s="222"/>
      <c r="D6" s="222"/>
      <c r="E6" s="222"/>
      <c r="F6" s="222"/>
      <c r="G6" s="222"/>
      <c r="H6" s="222">
        <v>0.4</v>
      </c>
      <c r="I6" s="224">
        <f>5/7</f>
        <v>0.7142857142857143</v>
      </c>
      <c r="J6" s="222"/>
      <c r="K6" s="222"/>
      <c r="L6" s="222"/>
      <c r="M6" s="222"/>
      <c r="N6" s="121"/>
      <c r="O6" s="222"/>
      <c r="P6" s="225" t="e">
        <f>SUM(#REF!)</f>
        <v>#REF!</v>
      </c>
      <c r="Q6" s="222"/>
      <c r="R6" s="223"/>
      <c r="S6" s="226">
        <f>+S10+S22+S30+S43+S53+S64+S72</f>
        <v>15476.212637362638</v>
      </c>
      <c r="T6" s="226">
        <f>+T10+T22+T30+T43+T53+T64+T72</f>
        <v>13718.05</v>
      </c>
      <c r="U6" s="226">
        <f>+U10+U22+U30+U43+U53+U64+U72</f>
        <v>65465661214</v>
      </c>
      <c r="V6" s="226">
        <f>+V10+V22+V30+V43+V53+V64+V72</f>
        <v>22330152488</v>
      </c>
      <c r="W6" s="221"/>
      <c r="X6" s="221"/>
      <c r="Y6" s="121"/>
    </row>
    <row r="7" spans="1:25" s="116" customFormat="1" ht="30" x14ac:dyDescent="0.2">
      <c r="A7" s="121">
        <v>1</v>
      </c>
      <c r="B7" s="222" t="s">
        <v>144</v>
      </c>
      <c r="C7" s="222" t="s">
        <v>110</v>
      </c>
      <c r="D7" s="222" t="s">
        <v>41</v>
      </c>
      <c r="E7" s="228"/>
      <c r="F7" s="228">
        <f>SUM(F8:F9)</f>
        <v>1671.3000000000002</v>
      </c>
      <c r="G7" s="228">
        <f>SUM(G8:G9)</f>
        <v>0</v>
      </c>
      <c r="H7" s="121"/>
      <c r="I7" s="229"/>
      <c r="J7" s="228"/>
      <c r="K7" s="230">
        <f>SUM(L7:M7)</f>
        <v>32683404000</v>
      </c>
      <c r="L7" s="230">
        <f>SUM(L8:L9)</f>
        <v>32683404000</v>
      </c>
      <c r="M7" s="230">
        <f>SUM(M8:M9)</f>
        <v>0</v>
      </c>
      <c r="N7" s="123"/>
      <c r="O7" s="231">
        <v>1.2999999999999999E-2</v>
      </c>
      <c r="P7" s="230">
        <f>+K7*O7</f>
        <v>424884252</v>
      </c>
      <c r="Q7" s="230"/>
      <c r="R7" s="218"/>
      <c r="S7" s="230"/>
      <c r="T7" s="230"/>
      <c r="U7" s="230"/>
      <c r="V7" s="230"/>
      <c r="W7" s="222"/>
      <c r="X7" s="299" t="s">
        <v>152</v>
      </c>
      <c r="Y7" s="299" t="s">
        <v>146</v>
      </c>
    </row>
    <row r="8" spans="1:25" s="116" customFormat="1" ht="15" hidden="1" customHeight="1" x14ac:dyDescent="0.2">
      <c r="A8" s="121"/>
      <c r="B8" s="227" t="s">
        <v>10</v>
      </c>
      <c r="C8" s="227"/>
      <c r="D8" s="227"/>
      <c r="E8" s="228">
        <v>1196.9000000000001</v>
      </c>
      <c r="F8" s="228">
        <v>1196.9000000000001</v>
      </c>
      <c r="G8" s="228">
        <v>0</v>
      </c>
      <c r="H8" s="229">
        <v>28140000</v>
      </c>
      <c r="I8" s="229">
        <f>H8/7*5</f>
        <v>20100000</v>
      </c>
      <c r="J8" s="228">
        <v>1.2</v>
      </c>
      <c r="K8" s="230">
        <f>SUM(L8:M8)</f>
        <v>28869228000</v>
      </c>
      <c r="L8" s="230">
        <f>F8*I8*J8</f>
        <v>28869228000</v>
      </c>
      <c r="M8" s="230">
        <f>+G8*$H$8</f>
        <v>0</v>
      </c>
      <c r="N8" s="123"/>
      <c r="O8" s="231"/>
      <c r="P8" s="230"/>
      <c r="Q8" s="230"/>
      <c r="R8" s="218"/>
      <c r="S8" s="230"/>
      <c r="T8" s="121"/>
      <c r="U8" s="230"/>
      <c r="V8" s="230"/>
      <c r="W8" s="121"/>
      <c r="X8" s="300"/>
      <c r="Y8" s="300" t="s">
        <v>10</v>
      </c>
    </row>
    <row r="9" spans="1:25" s="116" customFormat="1" ht="15" hidden="1" customHeight="1" x14ac:dyDescent="0.2">
      <c r="A9" s="121"/>
      <c r="B9" s="227" t="s">
        <v>11</v>
      </c>
      <c r="C9" s="227"/>
      <c r="D9" s="227"/>
      <c r="E9" s="228">
        <v>474.4</v>
      </c>
      <c r="F9" s="228">
        <v>474.4</v>
      </c>
      <c r="G9" s="228">
        <v>0</v>
      </c>
      <c r="H9" s="230">
        <f>+H8*0.4</f>
        <v>11256000</v>
      </c>
      <c r="I9" s="229">
        <f>H9/7*5</f>
        <v>8040000</v>
      </c>
      <c r="J9" s="228">
        <v>1</v>
      </c>
      <c r="K9" s="232">
        <f>SUM(L9:M9)</f>
        <v>3814176000</v>
      </c>
      <c r="L9" s="230">
        <f>F9*I9*J9</f>
        <v>3814176000</v>
      </c>
      <c r="M9" s="230">
        <f>+G9*H9*0.7</f>
        <v>0</v>
      </c>
      <c r="N9" s="123"/>
      <c r="O9" s="231"/>
      <c r="P9" s="230"/>
      <c r="Q9" s="230"/>
      <c r="R9" s="218"/>
      <c r="S9" s="230"/>
      <c r="T9" s="121"/>
      <c r="U9" s="230"/>
      <c r="V9" s="230"/>
      <c r="W9" s="121"/>
      <c r="X9" s="300"/>
      <c r="Y9" s="300" t="s">
        <v>11</v>
      </c>
    </row>
    <row r="10" spans="1:25" s="116" customFormat="1" ht="15" hidden="1" customHeight="1" x14ac:dyDescent="0.2">
      <c r="A10" s="121"/>
      <c r="B10" s="227" t="s">
        <v>115</v>
      </c>
      <c r="C10" s="227"/>
      <c r="D10" s="227"/>
      <c r="E10" s="228"/>
      <c r="F10" s="228"/>
      <c r="G10" s="228"/>
      <c r="H10" s="230"/>
      <c r="I10" s="229"/>
      <c r="J10" s="228"/>
      <c r="K10" s="232"/>
      <c r="L10" s="230"/>
      <c r="M10" s="230"/>
      <c r="N10" s="123"/>
      <c r="O10" s="231"/>
      <c r="P10" s="230"/>
      <c r="Q10" s="230"/>
      <c r="R10" s="218"/>
      <c r="S10" s="228">
        <f>SUM(S11:S16)</f>
        <v>2417.3626373626371</v>
      </c>
      <c r="T10" s="228">
        <f>SUM(T11:T16)</f>
        <v>2199.7999999999993</v>
      </c>
      <c r="U10" s="230">
        <f>SUM(U11:U16)</f>
        <v>6688625455</v>
      </c>
      <c r="V10" s="230">
        <f>SUM(V11:V16)</f>
        <v>2561693722</v>
      </c>
      <c r="W10" s="121"/>
      <c r="X10" s="300"/>
      <c r="Y10" s="300" t="s">
        <v>115</v>
      </c>
    </row>
    <row r="11" spans="1:25" ht="16.5" hidden="1" customHeight="1" x14ac:dyDescent="0.25">
      <c r="A11" s="121" t="s">
        <v>117</v>
      </c>
      <c r="B11" s="222" t="s">
        <v>80</v>
      </c>
      <c r="C11" s="227"/>
      <c r="D11" s="227"/>
      <c r="E11" s="228"/>
      <c r="F11" s="228"/>
      <c r="G11" s="228"/>
      <c r="H11" s="230"/>
      <c r="I11" s="229"/>
      <c r="J11" s="228"/>
      <c r="K11" s="232"/>
      <c r="L11" s="230"/>
      <c r="M11" s="230"/>
      <c r="N11" s="123"/>
      <c r="O11" s="231"/>
      <c r="P11" s="230"/>
      <c r="Q11" s="169"/>
      <c r="R11" s="217">
        <v>2008</v>
      </c>
      <c r="S11" s="230">
        <v>1190</v>
      </c>
      <c r="T11" s="121">
        <v>1082.9000000000001</v>
      </c>
      <c r="U11" s="230">
        <v>4606149096</v>
      </c>
      <c r="V11" s="230">
        <v>1935265427</v>
      </c>
      <c r="W11" s="222" t="s">
        <v>139</v>
      </c>
      <c r="X11" s="300"/>
      <c r="Y11" s="300" t="s">
        <v>80</v>
      </c>
    </row>
    <row r="12" spans="1:25" ht="16.5" hidden="1" customHeight="1" x14ac:dyDescent="0.25">
      <c r="A12" s="121" t="s">
        <v>117</v>
      </c>
      <c r="B12" s="222" t="s">
        <v>81</v>
      </c>
      <c r="C12" s="227"/>
      <c r="D12" s="227"/>
      <c r="E12" s="228"/>
      <c r="F12" s="228"/>
      <c r="G12" s="228"/>
      <c r="H12" s="230"/>
      <c r="I12" s="229"/>
      <c r="J12" s="228"/>
      <c r="K12" s="232"/>
      <c r="L12" s="230"/>
      <c r="M12" s="230"/>
      <c r="N12" s="123"/>
      <c r="O12" s="231"/>
      <c r="P12" s="230"/>
      <c r="Q12" s="169"/>
      <c r="R12" s="217">
        <v>2008</v>
      </c>
      <c r="S12" s="230">
        <v>641.31868131868134</v>
      </c>
      <c r="T12" s="121">
        <v>583.6</v>
      </c>
      <c r="U12" s="230">
        <v>1595622510</v>
      </c>
      <c r="V12" s="230">
        <v>486096162</v>
      </c>
      <c r="W12" s="222" t="s">
        <v>139</v>
      </c>
      <c r="X12" s="300"/>
      <c r="Y12" s="300" t="s">
        <v>81</v>
      </c>
    </row>
    <row r="13" spans="1:25" ht="16.5" hidden="1" customHeight="1" x14ac:dyDescent="0.25">
      <c r="A13" s="121" t="s">
        <v>117</v>
      </c>
      <c r="B13" s="222" t="s">
        <v>82</v>
      </c>
      <c r="C13" s="227"/>
      <c r="D13" s="227"/>
      <c r="E13" s="228"/>
      <c r="F13" s="228"/>
      <c r="G13" s="228"/>
      <c r="H13" s="230"/>
      <c r="I13" s="229"/>
      <c r="J13" s="228"/>
      <c r="K13" s="232"/>
      <c r="L13" s="230"/>
      <c r="M13" s="230"/>
      <c r="N13" s="123"/>
      <c r="O13" s="231"/>
      <c r="P13" s="230"/>
      <c r="Q13" s="169"/>
      <c r="R13" s="217">
        <v>2008</v>
      </c>
      <c r="S13" s="230">
        <v>515.60439560439556</v>
      </c>
      <c r="T13" s="121">
        <v>469.19999999999993</v>
      </c>
      <c r="U13" s="230">
        <v>386280349</v>
      </c>
      <c r="V13" s="230">
        <v>137603650</v>
      </c>
      <c r="W13" s="222" t="s">
        <v>139</v>
      </c>
      <c r="X13" s="300"/>
      <c r="Y13" s="300" t="s">
        <v>82</v>
      </c>
    </row>
    <row r="14" spans="1:25" ht="16.5" hidden="1" customHeight="1" x14ac:dyDescent="0.25">
      <c r="A14" s="121" t="s">
        <v>117</v>
      </c>
      <c r="B14" s="222" t="s">
        <v>83</v>
      </c>
      <c r="C14" s="227"/>
      <c r="D14" s="227"/>
      <c r="E14" s="228"/>
      <c r="F14" s="228"/>
      <c r="G14" s="228"/>
      <c r="H14" s="230"/>
      <c r="I14" s="229"/>
      <c r="J14" s="228"/>
      <c r="K14" s="232"/>
      <c r="L14" s="230"/>
      <c r="M14" s="230"/>
      <c r="N14" s="123"/>
      <c r="O14" s="231"/>
      <c r="P14" s="230"/>
      <c r="Q14" s="169"/>
      <c r="R14" s="217">
        <v>2008</v>
      </c>
      <c r="S14" s="230">
        <v>30.989010989010985</v>
      </c>
      <c r="T14" s="121">
        <v>28.2</v>
      </c>
      <c r="U14" s="230">
        <v>45779900</v>
      </c>
      <c r="V14" s="230">
        <v>2728483</v>
      </c>
      <c r="W14" s="222" t="s">
        <v>139</v>
      </c>
      <c r="X14" s="300"/>
      <c r="Y14" s="300" t="s">
        <v>83</v>
      </c>
    </row>
    <row r="15" spans="1:25" ht="16.5" hidden="1" customHeight="1" x14ac:dyDescent="0.25">
      <c r="A15" s="121" t="s">
        <v>117</v>
      </c>
      <c r="B15" s="222" t="s">
        <v>85</v>
      </c>
      <c r="C15" s="227"/>
      <c r="D15" s="227"/>
      <c r="E15" s="228"/>
      <c r="F15" s="228"/>
      <c r="G15" s="228"/>
      <c r="H15" s="230"/>
      <c r="I15" s="229"/>
      <c r="J15" s="228"/>
      <c r="K15" s="232"/>
      <c r="L15" s="230"/>
      <c r="M15" s="230"/>
      <c r="N15" s="123"/>
      <c r="O15" s="231"/>
      <c r="P15" s="230"/>
      <c r="Q15" s="169"/>
      <c r="R15" s="217">
        <v>2008</v>
      </c>
      <c r="S15" s="230">
        <v>26.593406593406591</v>
      </c>
      <c r="T15" s="121">
        <v>24.2</v>
      </c>
      <c r="U15" s="230">
        <v>20000000</v>
      </c>
      <c r="V15" s="230">
        <v>0</v>
      </c>
      <c r="W15" s="222" t="s">
        <v>139</v>
      </c>
      <c r="X15" s="300"/>
      <c r="Y15" s="300" t="s">
        <v>85</v>
      </c>
    </row>
    <row r="16" spans="1:25" ht="16.5" hidden="1" customHeight="1" x14ac:dyDescent="0.25">
      <c r="A16" s="121" t="s">
        <v>117</v>
      </c>
      <c r="B16" s="222" t="s">
        <v>84</v>
      </c>
      <c r="C16" s="227"/>
      <c r="D16" s="227"/>
      <c r="E16" s="228"/>
      <c r="F16" s="228"/>
      <c r="G16" s="228"/>
      <c r="H16" s="230"/>
      <c r="I16" s="229"/>
      <c r="J16" s="228"/>
      <c r="K16" s="232"/>
      <c r="L16" s="230"/>
      <c r="M16" s="230"/>
      <c r="N16" s="123"/>
      <c r="O16" s="231"/>
      <c r="P16" s="230"/>
      <c r="Q16" s="169"/>
      <c r="R16" s="217">
        <v>2008</v>
      </c>
      <c r="S16" s="230">
        <v>12.857142857142856</v>
      </c>
      <c r="T16" s="121">
        <v>11.7</v>
      </c>
      <c r="U16" s="230">
        <v>34793600</v>
      </c>
      <c r="V16" s="230">
        <v>0</v>
      </c>
      <c r="W16" s="222" t="s">
        <v>139</v>
      </c>
      <c r="X16" s="300"/>
      <c r="Y16" s="300" t="s">
        <v>84</v>
      </c>
    </row>
    <row r="17" spans="1:25" ht="16.5" customHeight="1" x14ac:dyDescent="0.25">
      <c r="A17" s="121" t="s">
        <v>161</v>
      </c>
      <c r="B17" s="222"/>
      <c r="C17" s="117" t="s">
        <v>50</v>
      </c>
      <c r="D17" s="227"/>
      <c r="E17" s="228">
        <f>+'PL khai thác'!E10</f>
        <v>1671.3000000000002</v>
      </c>
      <c r="F17" s="228"/>
      <c r="G17" s="228"/>
      <c r="H17" s="230"/>
      <c r="I17" s="229"/>
      <c r="J17" s="228"/>
      <c r="K17" s="232"/>
      <c r="L17" s="230"/>
      <c r="M17" s="230"/>
      <c r="N17" s="123"/>
      <c r="O17" s="231"/>
      <c r="P17" s="230"/>
      <c r="Q17" s="169"/>
      <c r="R17" s="217"/>
      <c r="S17" s="230"/>
      <c r="T17" s="121"/>
      <c r="U17" s="230">
        <f>+'PL khai thác'!U10</f>
        <v>82928040000</v>
      </c>
      <c r="V17" s="230">
        <f>+U17</f>
        <v>82928040000</v>
      </c>
      <c r="W17" s="222"/>
      <c r="X17" s="300"/>
      <c r="Y17" s="300"/>
    </row>
    <row r="18" spans="1:25" ht="33" customHeight="1" x14ac:dyDescent="0.25">
      <c r="A18" s="121" t="s">
        <v>162</v>
      </c>
      <c r="B18" s="222"/>
      <c r="C18" s="117" t="s">
        <v>115</v>
      </c>
      <c r="D18" s="227"/>
      <c r="E18" s="228"/>
      <c r="F18" s="228"/>
      <c r="G18" s="228"/>
      <c r="H18" s="230"/>
      <c r="I18" s="229"/>
      <c r="J18" s="228"/>
      <c r="K18" s="232"/>
      <c r="L18" s="230"/>
      <c r="M18" s="230"/>
      <c r="N18" s="123"/>
      <c r="O18" s="231"/>
      <c r="P18" s="230"/>
      <c r="Q18" s="169"/>
      <c r="R18" s="217">
        <v>2008</v>
      </c>
      <c r="S18" s="230">
        <f>+'PL khai thác'!S11</f>
        <v>0</v>
      </c>
      <c r="T18" s="228">
        <f>+'PL khai thác'!T11</f>
        <v>0</v>
      </c>
      <c r="U18" s="230">
        <f>+'PL khai thác'!U11</f>
        <v>0</v>
      </c>
      <c r="V18" s="230">
        <f>+'PL khai thác'!V11</f>
        <v>0</v>
      </c>
      <c r="W18" s="222" t="s">
        <v>139</v>
      </c>
      <c r="X18" s="300"/>
      <c r="Y18" s="300"/>
    </row>
    <row r="19" spans="1:25" ht="21" customHeight="1" x14ac:dyDescent="0.25">
      <c r="A19" s="121" t="s">
        <v>201</v>
      </c>
      <c r="B19" s="222"/>
      <c r="C19" s="117" t="s">
        <v>183</v>
      </c>
      <c r="D19" s="227"/>
      <c r="E19" s="228"/>
      <c r="F19" s="228"/>
      <c r="G19" s="228"/>
      <c r="H19" s="230"/>
      <c r="I19" s="229"/>
      <c r="J19" s="228"/>
      <c r="K19" s="232"/>
      <c r="L19" s="230"/>
      <c r="M19" s="230"/>
      <c r="N19" s="123"/>
      <c r="O19" s="231"/>
      <c r="P19" s="230"/>
      <c r="Q19" s="169"/>
      <c r="R19" s="217">
        <v>2016</v>
      </c>
      <c r="S19" s="230"/>
      <c r="T19" s="228"/>
      <c r="U19" s="230">
        <f>+'PL khai thác'!U18</f>
        <v>638801800</v>
      </c>
      <c r="V19" s="230">
        <v>0</v>
      </c>
      <c r="W19" s="222"/>
      <c r="X19" s="301"/>
      <c r="Y19" s="301"/>
    </row>
    <row r="20" spans="1:25" s="116" customFormat="1" ht="38.25" customHeight="1" x14ac:dyDescent="0.2">
      <c r="A20" s="121">
        <v>2</v>
      </c>
      <c r="B20" s="222" t="s">
        <v>108</v>
      </c>
      <c r="C20" s="222" t="s">
        <v>109</v>
      </c>
      <c r="D20" s="222" t="s">
        <v>42</v>
      </c>
      <c r="E20" s="228"/>
      <c r="F20" s="228">
        <f>SUM(F21:F21)</f>
        <v>420.5</v>
      </c>
      <c r="G20" s="228">
        <f>SUM(G21:G21)</f>
        <v>176.3</v>
      </c>
      <c r="H20" s="121"/>
      <c r="I20" s="229"/>
      <c r="J20" s="228"/>
      <c r="K20" s="230">
        <f>SUM(L20:M20)</f>
        <v>8582899800</v>
      </c>
      <c r="L20" s="230">
        <f>SUM(L21:L21)</f>
        <v>6635490000</v>
      </c>
      <c r="M20" s="230">
        <f>SUM(M21:M21)</f>
        <v>1947409800</v>
      </c>
      <c r="N20" s="123" t="s">
        <v>15</v>
      </c>
      <c r="O20" s="231">
        <v>1.2999999999999999E-2</v>
      </c>
      <c r="P20" s="230">
        <f>+K20*O20</f>
        <v>111577697.39999999</v>
      </c>
      <c r="Q20" s="230"/>
      <c r="R20" s="218"/>
      <c r="S20" s="230"/>
      <c r="T20" s="121"/>
      <c r="U20" s="230"/>
      <c r="V20" s="230"/>
      <c r="W20" s="222"/>
      <c r="X20" s="299" t="s">
        <v>152</v>
      </c>
      <c r="Y20" s="302" t="s">
        <v>147</v>
      </c>
    </row>
    <row r="21" spans="1:25" s="116" customFormat="1" ht="15" hidden="1" customHeight="1" x14ac:dyDescent="0.2">
      <c r="A21" s="121"/>
      <c r="B21" s="227" t="s">
        <v>10</v>
      </c>
      <c r="C21" s="227"/>
      <c r="D21" s="227"/>
      <c r="E21" s="228">
        <v>596.79999999999995</v>
      </c>
      <c r="F21" s="228">
        <v>420.5</v>
      </c>
      <c r="G21" s="228">
        <v>176.3</v>
      </c>
      <c r="H21" s="230">
        <v>18410000</v>
      </c>
      <c r="I21" s="229">
        <f>H21/7*5</f>
        <v>13150000</v>
      </c>
      <c r="J21" s="228">
        <v>1.2</v>
      </c>
      <c r="K21" s="230">
        <f>SUM(L21:M21)</f>
        <v>8582899800</v>
      </c>
      <c r="L21" s="230">
        <f>F21*I21*J21</f>
        <v>6635490000</v>
      </c>
      <c r="M21" s="230">
        <f>G21*I21*0.7*1.2</f>
        <v>1947409800</v>
      </c>
      <c r="N21" s="123"/>
      <c r="O21" s="231"/>
      <c r="P21" s="230"/>
      <c r="Q21" s="230"/>
      <c r="R21" s="218"/>
      <c r="S21" s="230"/>
      <c r="T21" s="121"/>
      <c r="U21" s="230"/>
      <c r="V21" s="230"/>
      <c r="W21" s="121"/>
      <c r="X21" s="300"/>
      <c r="Y21" s="303"/>
    </row>
    <row r="22" spans="1:25" s="116" customFormat="1" ht="15" hidden="1" customHeight="1" x14ac:dyDescent="0.2">
      <c r="A22" s="121"/>
      <c r="B22" s="227" t="s">
        <v>115</v>
      </c>
      <c r="C22" s="227"/>
      <c r="D22" s="227"/>
      <c r="E22" s="228"/>
      <c r="F22" s="228"/>
      <c r="G22" s="228"/>
      <c r="H22" s="230"/>
      <c r="I22" s="229"/>
      <c r="J22" s="228"/>
      <c r="K22" s="230"/>
      <c r="L22" s="230"/>
      <c r="M22" s="230"/>
      <c r="N22" s="123"/>
      <c r="O22" s="231"/>
      <c r="P22" s="230"/>
      <c r="Q22" s="230"/>
      <c r="R22" s="218"/>
      <c r="S22" s="230">
        <f>SUM(S23:S24)</f>
        <v>646</v>
      </c>
      <c r="T22" s="230">
        <f>SUM(T23:T24)</f>
        <v>598.05999999999995</v>
      </c>
      <c r="U22" s="230">
        <f>SUM(U23:U24)</f>
        <v>1323848145</v>
      </c>
      <c r="V22" s="230">
        <f>SUM(V23:V24)</f>
        <v>560947847</v>
      </c>
      <c r="W22" s="121"/>
      <c r="X22" s="300"/>
      <c r="Y22" s="303"/>
    </row>
    <row r="23" spans="1:25" ht="30" hidden="1" customHeight="1" x14ac:dyDescent="0.25">
      <c r="A23" s="121" t="s">
        <v>117</v>
      </c>
      <c r="B23" s="222" t="s">
        <v>86</v>
      </c>
      <c r="C23" s="227"/>
      <c r="D23" s="227"/>
      <c r="E23" s="228"/>
      <c r="F23" s="228"/>
      <c r="G23" s="228"/>
      <c r="H23" s="230"/>
      <c r="I23" s="229"/>
      <c r="J23" s="228"/>
      <c r="K23" s="232"/>
      <c r="L23" s="230"/>
      <c r="M23" s="230"/>
      <c r="N23" s="123"/>
      <c r="O23" s="231"/>
      <c r="P23" s="230"/>
      <c r="Q23" s="169"/>
      <c r="R23" s="217">
        <v>2006</v>
      </c>
      <c r="S23" s="230">
        <v>546</v>
      </c>
      <c r="T23" s="121">
        <v>505.26</v>
      </c>
      <c r="U23" s="230">
        <v>1014376000</v>
      </c>
      <c r="V23" s="230">
        <v>400732876</v>
      </c>
      <c r="W23" s="121" t="s">
        <v>139</v>
      </c>
      <c r="X23" s="300"/>
      <c r="Y23" s="303"/>
    </row>
    <row r="24" spans="1:25" ht="15" hidden="1" customHeight="1" x14ac:dyDescent="0.25">
      <c r="A24" s="121" t="s">
        <v>117</v>
      </c>
      <c r="B24" s="222" t="s">
        <v>87</v>
      </c>
      <c r="C24" s="227"/>
      <c r="D24" s="227"/>
      <c r="E24" s="228"/>
      <c r="F24" s="228"/>
      <c r="G24" s="228"/>
      <c r="H24" s="230"/>
      <c r="I24" s="229"/>
      <c r="J24" s="228"/>
      <c r="K24" s="232"/>
      <c r="L24" s="230"/>
      <c r="M24" s="230"/>
      <c r="N24" s="123"/>
      <c r="O24" s="231"/>
      <c r="P24" s="230"/>
      <c r="Q24" s="169"/>
      <c r="R24" s="217">
        <v>2006</v>
      </c>
      <c r="S24" s="230">
        <v>100</v>
      </c>
      <c r="T24" s="121">
        <v>92.8</v>
      </c>
      <c r="U24" s="230">
        <v>309472145</v>
      </c>
      <c r="V24" s="230">
        <v>160214971</v>
      </c>
      <c r="W24" s="121" t="s">
        <v>139</v>
      </c>
      <c r="X24" s="300"/>
      <c r="Y24" s="303"/>
    </row>
    <row r="25" spans="1:25" ht="16.5" customHeight="1" x14ac:dyDescent="0.25">
      <c r="A25" s="121" t="s">
        <v>163</v>
      </c>
      <c r="B25" s="222"/>
      <c r="C25" s="117" t="s">
        <v>50</v>
      </c>
      <c r="D25" s="227"/>
      <c r="E25" s="228">
        <f>+'PL khai thác'!E29</f>
        <v>633</v>
      </c>
      <c r="F25" s="228"/>
      <c r="G25" s="228"/>
      <c r="H25" s="230"/>
      <c r="I25" s="229"/>
      <c r="J25" s="228"/>
      <c r="K25" s="232"/>
      <c r="L25" s="230"/>
      <c r="M25" s="230"/>
      <c r="N25" s="123"/>
      <c r="O25" s="231"/>
      <c r="P25" s="230"/>
      <c r="Q25" s="169"/>
      <c r="R25" s="217"/>
      <c r="S25" s="230"/>
      <c r="T25" s="121"/>
      <c r="U25" s="230">
        <f>+'PL khai thác'!V29</f>
        <v>21756400000</v>
      </c>
      <c r="V25" s="230">
        <f>+U25</f>
        <v>21756400000</v>
      </c>
      <c r="W25" s="222"/>
      <c r="X25" s="300"/>
      <c r="Y25" s="303"/>
    </row>
    <row r="26" spans="1:25" ht="31.5" customHeight="1" x14ac:dyDescent="0.25">
      <c r="A26" s="121" t="s">
        <v>164</v>
      </c>
      <c r="B26" s="222"/>
      <c r="C26" s="117" t="s">
        <v>115</v>
      </c>
      <c r="D26" s="227"/>
      <c r="E26" s="228"/>
      <c r="F26" s="228"/>
      <c r="G26" s="228"/>
      <c r="H26" s="230"/>
      <c r="I26" s="229"/>
      <c r="J26" s="228"/>
      <c r="K26" s="232"/>
      <c r="L26" s="230"/>
      <c r="M26" s="230"/>
      <c r="N26" s="123"/>
      <c r="O26" s="231"/>
      <c r="P26" s="230"/>
      <c r="Q26" s="169"/>
      <c r="R26" s="217">
        <v>2006</v>
      </c>
      <c r="S26" s="230">
        <f>+'PL khai thác'!S30</f>
        <v>0</v>
      </c>
      <c r="T26" s="228">
        <f>+'PL khai thác'!T30</f>
        <v>0</v>
      </c>
      <c r="U26" s="230">
        <f>+'PL khai thác'!U30</f>
        <v>0</v>
      </c>
      <c r="V26" s="230">
        <f>+'PL khai thác'!V30</f>
        <v>0</v>
      </c>
      <c r="W26" s="222" t="s">
        <v>139</v>
      </c>
      <c r="X26" s="301"/>
      <c r="Y26" s="304"/>
    </row>
    <row r="27" spans="1:25" s="116" customFormat="1" ht="45" x14ac:dyDescent="0.2">
      <c r="A27" s="121">
        <v>3</v>
      </c>
      <c r="B27" s="222" t="s">
        <v>62</v>
      </c>
      <c r="C27" s="222" t="s">
        <v>111</v>
      </c>
      <c r="D27" s="222" t="s">
        <v>63</v>
      </c>
      <c r="E27" s="228"/>
      <c r="F27" s="228">
        <f>SUM(F28:F29)</f>
        <v>2421.6</v>
      </c>
      <c r="G27" s="228">
        <f>SUM(G28:G29)</f>
        <v>0</v>
      </c>
      <c r="H27" s="121"/>
      <c r="I27" s="229"/>
      <c r="J27" s="228"/>
      <c r="K27" s="230">
        <f>SUM(K28:K29)</f>
        <v>26800200000</v>
      </c>
      <c r="L27" s="230">
        <f>SUM(L28:L29)</f>
        <v>26800200000</v>
      </c>
      <c r="M27" s="230">
        <f>SUM(M28:M29)</f>
        <v>0</v>
      </c>
      <c r="N27" s="123"/>
      <c r="O27" s="231">
        <v>1.2999999999999999E-2</v>
      </c>
      <c r="P27" s="230">
        <f>+K27*O27</f>
        <v>348402600</v>
      </c>
      <c r="Q27" s="230"/>
      <c r="R27" s="218"/>
      <c r="S27" s="230"/>
      <c r="T27" s="230"/>
      <c r="U27" s="230"/>
      <c r="V27" s="230">
        <v>0</v>
      </c>
      <c r="X27" s="299" t="s">
        <v>152</v>
      </c>
      <c r="Y27" s="302" t="s">
        <v>148</v>
      </c>
    </row>
    <row r="28" spans="1:25" s="116" customFormat="1" ht="38.25" hidden="1" customHeight="1" x14ac:dyDescent="0.2">
      <c r="A28" s="121"/>
      <c r="B28" s="227" t="s">
        <v>10</v>
      </c>
      <c r="C28" s="227"/>
      <c r="D28" s="227"/>
      <c r="E28" s="228">
        <v>1221.5999999999999</v>
      </c>
      <c r="F28" s="228">
        <v>1221.5999999999999</v>
      </c>
      <c r="G28" s="228"/>
      <c r="H28" s="229">
        <v>22050000</v>
      </c>
      <c r="I28" s="229">
        <f>+H28/7*5</f>
        <v>15750000</v>
      </c>
      <c r="J28" s="228">
        <v>1</v>
      </c>
      <c r="K28" s="230">
        <f>SUM(L28:M28)</f>
        <v>19240200000</v>
      </c>
      <c r="L28" s="230">
        <f>F28*I28*J28</f>
        <v>19240200000</v>
      </c>
      <c r="M28" s="230"/>
      <c r="N28" s="123"/>
      <c r="O28" s="231"/>
      <c r="P28" s="230"/>
      <c r="Q28" s="230"/>
      <c r="R28" s="217"/>
      <c r="S28" s="230"/>
      <c r="T28" s="121"/>
      <c r="U28" s="230"/>
      <c r="V28" s="230"/>
      <c r="W28" s="121"/>
      <c r="X28" s="300"/>
      <c r="Y28" s="303"/>
    </row>
    <row r="29" spans="1:25" s="116" customFormat="1" ht="38.25" hidden="1" customHeight="1" x14ac:dyDescent="0.2">
      <c r="A29" s="121"/>
      <c r="B29" s="227" t="s">
        <v>11</v>
      </c>
      <c r="C29" s="227"/>
      <c r="D29" s="227"/>
      <c r="E29" s="228">
        <v>1200</v>
      </c>
      <c r="F29" s="228">
        <v>1200</v>
      </c>
      <c r="G29" s="228"/>
      <c r="H29" s="229">
        <f>+H28*0.4</f>
        <v>8820000</v>
      </c>
      <c r="I29" s="229">
        <f>+H29/7*5</f>
        <v>6300000</v>
      </c>
      <c r="J29" s="228">
        <v>1</v>
      </c>
      <c r="K29" s="230">
        <f>SUM(L29:M29)</f>
        <v>7560000000</v>
      </c>
      <c r="L29" s="230">
        <f>F29*I29*J29</f>
        <v>7560000000</v>
      </c>
      <c r="M29" s="230"/>
      <c r="N29" s="123"/>
      <c r="O29" s="231"/>
      <c r="P29" s="230"/>
      <c r="Q29" s="230"/>
      <c r="R29" s="217"/>
      <c r="S29" s="230"/>
      <c r="T29" s="121"/>
      <c r="U29" s="230"/>
      <c r="V29" s="230"/>
      <c r="W29" s="121"/>
      <c r="X29" s="300"/>
      <c r="Y29" s="303"/>
    </row>
    <row r="30" spans="1:25" s="116" customFormat="1" ht="38.25" hidden="1" customHeight="1" x14ac:dyDescent="0.2">
      <c r="A30" s="121"/>
      <c r="B30" s="227" t="s">
        <v>116</v>
      </c>
      <c r="C30" s="227"/>
      <c r="D30" s="227"/>
      <c r="E30" s="228"/>
      <c r="F30" s="228"/>
      <c r="G30" s="228"/>
      <c r="H30" s="229"/>
      <c r="I30" s="229"/>
      <c r="J30" s="228"/>
      <c r="K30" s="230"/>
      <c r="L30" s="230"/>
      <c r="M30" s="230"/>
      <c r="N30" s="123"/>
      <c r="O30" s="231"/>
      <c r="P30" s="230"/>
      <c r="Q30" s="230"/>
      <c r="R30" s="217"/>
      <c r="S30" s="230">
        <f>SUM(S31:S35)</f>
        <v>2108</v>
      </c>
      <c r="T30" s="230">
        <f>SUM(T31:T35)</f>
        <v>1857.2</v>
      </c>
      <c r="U30" s="230">
        <f>SUM(U31:U35)</f>
        <v>2242027000</v>
      </c>
      <c r="V30" s="230">
        <f>SUM(V31:V35)</f>
        <v>0</v>
      </c>
      <c r="W30" s="121"/>
      <c r="X30" s="300"/>
      <c r="Y30" s="303"/>
    </row>
    <row r="31" spans="1:25" ht="16.5" hidden="1" customHeight="1" x14ac:dyDescent="0.25">
      <c r="A31" s="121" t="s">
        <v>117</v>
      </c>
      <c r="B31" s="227" t="s">
        <v>105</v>
      </c>
      <c r="C31" s="227"/>
      <c r="D31" s="227"/>
      <c r="E31" s="228"/>
      <c r="F31" s="228"/>
      <c r="G31" s="228"/>
      <c r="H31" s="229"/>
      <c r="I31" s="229"/>
      <c r="J31" s="228"/>
      <c r="K31" s="230"/>
      <c r="L31" s="230"/>
      <c r="M31" s="230"/>
      <c r="N31" s="123"/>
      <c r="O31" s="231"/>
      <c r="P31" s="230"/>
      <c r="Q31" s="230"/>
      <c r="R31" s="217">
        <v>1995</v>
      </c>
      <c r="S31" s="230">
        <v>978</v>
      </c>
      <c r="T31" s="121">
        <v>850.8</v>
      </c>
      <c r="U31" s="230">
        <v>974928000</v>
      </c>
      <c r="V31" s="230">
        <v>0</v>
      </c>
      <c r="W31" s="222" t="s">
        <v>139</v>
      </c>
      <c r="X31" s="300"/>
      <c r="Y31" s="303"/>
    </row>
    <row r="32" spans="1:25" ht="16.5" hidden="1" customHeight="1" x14ac:dyDescent="0.25">
      <c r="A32" s="121" t="s">
        <v>117</v>
      </c>
      <c r="B32" s="227" t="s">
        <v>106</v>
      </c>
      <c r="C32" s="227"/>
      <c r="D32" s="227"/>
      <c r="E32" s="228"/>
      <c r="F32" s="228"/>
      <c r="G32" s="228"/>
      <c r="H32" s="229"/>
      <c r="I32" s="229"/>
      <c r="J32" s="228"/>
      <c r="K32" s="230"/>
      <c r="L32" s="230"/>
      <c r="M32" s="230"/>
      <c r="N32" s="123"/>
      <c r="O32" s="231"/>
      <c r="P32" s="230"/>
      <c r="Q32" s="230"/>
      <c r="R32" s="217">
        <v>1996</v>
      </c>
      <c r="S32" s="230">
        <v>750</v>
      </c>
      <c r="T32" s="121">
        <v>660.2</v>
      </c>
      <c r="U32" s="230">
        <v>797941000</v>
      </c>
      <c r="V32" s="230">
        <v>0</v>
      </c>
      <c r="W32" s="222" t="s">
        <v>139</v>
      </c>
      <c r="X32" s="300"/>
      <c r="Y32" s="303"/>
    </row>
    <row r="33" spans="1:25" ht="16.5" hidden="1" customHeight="1" x14ac:dyDescent="0.25">
      <c r="A33" s="121" t="s">
        <v>117</v>
      </c>
      <c r="B33" s="227" t="s">
        <v>101</v>
      </c>
      <c r="C33" s="227"/>
      <c r="D33" s="227"/>
      <c r="E33" s="228"/>
      <c r="F33" s="228"/>
      <c r="G33" s="228"/>
      <c r="H33" s="229"/>
      <c r="I33" s="229"/>
      <c r="J33" s="228"/>
      <c r="K33" s="230"/>
      <c r="L33" s="230"/>
      <c r="M33" s="230"/>
      <c r="N33" s="123"/>
      <c r="O33" s="231"/>
      <c r="P33" s="230"/>
      <c r="Q33" s="230"/>
      <c r="R33" s="217">
        <v>1993</v>
      </c>
      <c r="S33" s="230">
        <v>25</v>
      </c>
      <c r="T33" s="121">
        <v>22</v>
      </c>
      <c r="U33" s="230">
        <v>19667000</v>
      </c>
      <c r="V33" s="230">
        <v>0</v>
      </c>
      <c r="W33" s="222" t="s">
        <v>139</v>
      </c>
      <c r="X33" s="300"/>
      <c r="Y33" s="303"/>
    </row>
    <row r="34" spans="1:25" ht="16.5" hidden="1" customHeight="1" x14ac:dyDescent="0.25">
      <c r="A34" s="121" t="s">
        <v>117</v>
      </c>
      <c r="B34" s="227" t="s">
        <v>102</v>
      </c>
      <c r="C34" s="227"/>
      <c r="D34" s="227"/>
      <c r="E34" s="228"/>
      <c r="F34" s="228"/>
      <c r="G34" s="228"/>
      <c r="H34" s="229"/>
      <c r="I34" s="229"/>
      <c r="J34" s="228"/>
      <c r="K34" s="230"/>
      <c r="L34" s="230"/>
      <c r="M34" s="230"/>
      <c r="N34" s="123"/>
      <c r="O34" s="231"/>
      <c r="P34" s="230"/>
      <c r="Q34" s="230"/>
      <c r="R34" s="217">
        <v>1995</v>
      </c>
      <c r="S34" s="230">
        <v>25</v>
      </c>
      <c r="T34" s="121">
        <v>21.2</v>
      </c>
      <c r="U34" s="230">
        <v>25038000</v>
      </c>
      <c r="V34" s="230">
        <v>0</v>
      </c>
      <c r="W34" s="222" t="s">
        <v>139</v>
      </c>
      <c r="X34" s="300"/>
      <c r="Y34" s="303"/>
    </row>
    <row r="35" spans="1:25" ht="16.5" hidden="1" customHeight="1" x14ac:dyDescent="0.25">
      <c r="A35" s="121" t="s">
        <v>117</v>
      </c>
      <c r="B35" s="227" t="s">
        <v>107</v>
      </c>
      <c r="C35" s="227"/>
      <c r="D35" s="227"/>
      <c r="E35" s="228"/>
      <c r="F35" s="228"/>
      <c r="G35" s="228"/>
      <c r="H35" s="229"/>
      <c r="I35" s="229"/>
      <c r="J35" s="228"/>
      <c r="K35" s="230"/>
      <c r="L35" s="230"/>
      <c r="M35" s="230"/>
      <c r="N35" s="123"/>
      <c r="O35" s="231"/>
      <c r="P35" s="230"/>
      <c r="Q35" s="230"/>
      <c r="R35" s="217">
        <v>2000</v>
      </c>
      <c r="S35" s="230">
        <v>330</v>
      </c>
      <c r="T35" s="121">
        <v>303</v>
      </c>
      <c r="U35" s="230">
        <v>424453000</v>
      </c>
      <c r="V35" s="230">
        <v>0</v>
      </c>
      <c r="W35" s="222" t="s">
        <v>139</v>
      </c>
      <c r="X35" s="300"/>
      <c r="Y35" s="303"/>
    </row>
    <row r="36" spans="1:25" ht="16.5" customHeight="1" x14ac:dyDescent="0.25">
      <c r="A36" s="121" t="s">
        <v>165</v>
      </c>
      <c r="B36" s="222"/>
      <c r="C36" s="117" t="s">
        <v>50</v>
      </c>
      <c r="D36" s="227"/>
      <c r="E36" s="228">
        <f>+'PL khai thác'!E36</f>
        <v>2421.6</v>
      </c>
      <c r="F36" s="228"/>
      <c r="G36" s="228"/>
      <c r="H36" s="230"/>
      <c r="I36" s="229"/>
      <c r="J36" s="228"/>
      <c r="K36" s="232"/>
      <c r="L36" s="230"/>
      <c r="M36" s="230"/>
      <c r="N36" s="123"/>
      <c r="O36" s="231"/>
      <c r="P36" s="230"/>
      <c r="Q36" s="169"/>
      <c r="R36" s="217"/>
      <c r="S36" s="230"/>
      <c r="T36" s="121"/>
      <c r="U36" s="230">
        <f>+'PL khai thác'!U36</f>
        <v>81676800000</v>
      </c>
      <c r="V36" s="230">
        <f>+U36</f>
        <v>81676800000</v>
      </c>
      <c r="W36" s="222"/>
      <c r="X36" s="300"/>
      <c r="Y36" s="303"/>
    </row>
    <row r="37" spans="1:25" ht="36" customHeight="1" x14ac:dyDescent="0.25">
      <c r="A37" s="121" t="s">
        <v>166</v>
      </c>
      <c r="B37" s="222"/>
      <c r="C37" s="117" t="s">
        <v>115</v>
      </c>
      <c r="D37" s="227"/>
      <c r="E37" s="228"/>
      <c r="F37" s="228"/>
      <c r="G37" s="228"/>
      <c r="H37" s="230"/>
      <c r="I37" s="229"/>
      <c r="J37" s="228"/>
      <c r="K37" s="232"/>
      <c r="L37" s="230"/>
      <c r="M37" s="230"/>
      <c r="N37" s="123"/>
      <c r="O37" s="231"/>
      <c r="P37" s="230"/>
      <c r="Q37" s="169"/>
      <c r="R37" s="217">
        <v>1995</v>
      </c>
      <c r="S37" s="230">
        <f>+'PL khai thác'!S37</f>
        <v>0</v>
      </c>
      <c r="T37" s="228">
        <f>+'PL khai thác'!T37</f>
        <v>0</v>
      </c>
      <c r="U37" s="230">
        <f>+'PL khai thác'!U37</f>
        <v>0</v>
      </c>
      <c r="V37" s="230">
        <f>+'PL khai thác'!V37</f>
        <v>0</v>
      </c>
      <c r="W37" s="222" t="s">
        <v>139</v>
      </c>
      <c r="X37" s="300"/>
      <c r="Y37" s="303"/>
    </row>
    <row r="38" spans="1:25" ht="36" customHeight="1" x14ac:dyDescent="0.25">
      <c r="A38" s="121" t="s">
        <v>182</v>
      </c>
      <c r="B38" s="222"/>
      <c r="C38" s="117" t="s">
        <v>183</v>
      </c>
      <c r="D38" s="227"/>
      <c r="E38" s="228"/>
      <c r="F38" s="228"/>
      <c r="G38" s="228"/>
      <c r="H38" s="230"/>
      <c r="I38" s="229"/>
      <c r="J38" s="228"/>
      <c r="K38" s="232"/>
      <c r="L38" s="230"/>
      <c r="M38" s="230"/>
      <c r="N38" s="123"/>
      <c r="O38" s="231"/>
      <c r="P38" s="230"/>
      <c r="Q38" s="169"/>
      <c r="R38" s="217"/>
      <c r="S38" s="230"/>
      <c r="T38" s="228"/>
      <c r="U38" s="230">
        <f>+'PL khai thác'!U43</f>
        <v>652956471</v>
      </c>
      <c r="V38" s="230">
        <f>+'PL khai thác'!V43</f>
        <v>9170000</v>
      </c>
      <c r="W38" s="253"/>
      <c r="X38" s="301"/>
      <c r="Y38" s="304"/>
    </row>
    <row r="39" spans="1:25" s="116" customFormat="1" ht="45" x14ac:dyDescent="0.2">
      <c r="A39" s="121">
        <v>4</v>
      </c>
      <c r="B39" s="222" t="s">
        <v>64</v>
      </c>
      <c r="C39" s="222" t="s">
        <v>112</v>
      </c>
      <c r="D39" s="222" t="s">
        <v>65</v>
      </c>
      <c r="E39" s="228"/>
      <c r="F39" s="228"/>
      <c r="G39" s="228">
        <f>SUM(G40:G42)</f>
        <v>0</v>
      </c>
      <c r="H39" s="121"/>
      <c r="I39" s="229"/>
      <c r="J39" s="228"/>
      <c r="K39" s="230">
        <f>SUM(K40:K42)</f>
        <v>50232312000</v>
      </c>
      <c r="L39" s="230">
        <f>SUM(L40:L42)</f>
        <v>50232312000</v>
      </c>
      <c r="M39" s="230">
        <f>SUM(M40:M42)</f>
        <v>0</v>
      </c>
      <c r="N39" s="123"/>
      <c r="O39" s="231">
        <v>1.2999999999999999E-2</v>
      </c>
      <c r="P39" s="230">
        <f>+K39*O39</f>
        <v>653020056</v>
      </c>
      <c r="Q39" s="230"/>
      <c r="R39" s="217"/>
      <c r="S39" s="230"/>
      <c r="T39" s="228"/>
      <c r="U39" s="230"/>
      <c r="V39" s="230"/>
      <c r="W39" s="115"/>
      <c r="X39" s="299" t="s">
        <v>152</v>
      </c>
      <c r="Y39" s="299" t="s">
        <v>149</v>
      </c>
    </row>
    <row r="40" spans="1:25" s="116" customFormat="1" ht="38.25" hidden="1" customHeight="1" x14ac:dyDescent="0.2">
      <c r="A40" s="121"/>
      <c r="B40" s="227" t="s">
        <v>10</v>
      </c>
      <c r="C40" s="227"/>
      <c r="D40" s="227"/>
      <c r="E40" s="228">
        <v>1537.9</v>
      </c>
      <c r="F40" s="233">
        <v>1537.9</v>
      </c>
      <c r="G40" s="228"/>
      <c r="H40" s="229">
        <v>28140000</v>
      </c>
      <c r="I40" s="229">
        <f>+H40*$I$6</f>
        <v>20100000</v>
      </c>
      <c r="J40" s="228">
        <v>1.2</v>
      </c>
      <c r="K40" s="230">
        <f>SUM(L40:M40)</f>
        <v>37094148000</v>
      </c>
      <c r="L40" s="230">
        <f>F40*I40*J40</f>
        <v>37094148000</v>
      </c>
      <c r="M40" s="230"/>
      <c r="N40" s="123"/>
      <c r="O40" s="231"/>
      <c r="P40" s="230"/>
      <c r="Q40" s="230"/>
      <c r="R40" s="218"/>
      <c r="S40" s="230"/>
      <c r="T40" s="121"/>
      <c r="U40" s="230"/>
      <c r="V40" s="230"/>
      <c r="W40" s="121"/>
      <c r="X40" s="300"/>
      <c r="Y40" s="300" t="s">
        <v>10</v>
      </c>
    </row>
    <row r="41" spans="1:25" s="116" customFormat="1" ht="38.25" hidden="1" customHeight="1" x14ac:dyDescent="0.2">
      <c r="A41" s="121"/>
      <c r="B41" s="227" t="s">
        <v>11</v>
      </c>
      <c r="C41" s="227"/>
      <c r="D41" s="227"/>
      <c r="E41" s="228">
        <v>1530.3</v>
      </c>
      <c r="F41" s="233">
        <v>1530.3</v>
      </c>
      <c r="G41" s="228"/>
      <c r="H41" s="229">
        <f>+H40*0.4</f>
        <v>11256000</v>
      </c>
      <c r="I41" s="229">
        <f>+H41*$I$6</f>
        <v>8040000</v>
      </c>
      <c r="J41" s="228">
        <v>1</v>
      </c>
      <c r="K41" s="230">
        <f>SUM(L41:M41)</f>
        <v>12303612000</v>
      </c>
      <c r="L41" s="230">
        <f>F41*I41*J41</f>
        <v>12303612000</v>
      </c>
      <c r="M41" s="230"/>
      <c r="N41" s="123"/>
      <c r="O41" s="231"/>
      <c r="P41" s="230"/>
      <c r="Q41" s="230"/>
      <c r="R41" s="218"/>
      <c r="S41" s="230"/>
      <c r="T41" s="121"/>
      <c r="U41" s="230"/>
      <c r="V41" s="230"/>
      <c r="W41" s="121"/>
      <c r="X41" s="300"/>
      <c r="Y41" s="300" t="s">
        <v>11</v>
      </c>
    </row>
    <row r="42" spans="1:25" s="116" customFormat="1" ht="38.25" hidden="1" customHeight="1" x14ac:dyDescent="0.2">
      <c r="A42" s="121"/>
      <c r="B42" s="227" t="s">
        <v>73</v>
      </c>
      <c r="C42" s="227"/>
      <c r="D42" s="227"/>
      <c r="E42" s="228">
        <v>138.4</v>
      </c>
      <c r="F42" s="228">
        <v>138.4</v>
      </c>
      <c r="G42" s="228"/>
      <c r="H42" s="229">
        <f>+H40*0.3</f>
        <v>8442000</v>
      </c>
      <c r="I42" s="229">
        <f>+H42*$I$6</f>
        <v>6030000</v>
      </c>
      <c r="J42" s="228">
        <v>1</v>
      </c>
      <c r="K42" s="230">
        <f>SUM(L42:M42)</f>
        <v>834552000</v>
      </c>
      <c r="L42" s="230">
        <f>F42*I42*J42</f>
        <v>834552000</v>
      </c>
      <c r="M42" s="230"/>
      <c r="N42" s="123"/>
      <c r="O42" s="231"/>
      <c r="P42" s="230"/>
      <c r="Q42" s="230"/>
      <c r="R42" s="218"/>
      <c r="S42" s="230"/>
      <c r="T42" s="121"/>
      <c r="U42" s="230"/>
      <c r="V42" s="230"/>
      <c r="W42" s="121"/>
      <c r="X42" s="300"/>
      <c r="Y42" s="300" t="s">
        <v>73</v>
      </c>
    </row>
    <row r="43" spans="1:25" s="116" customFormat="1" ht="38.25" hidden="1" customHeight="1" x14ac:dyDescent="0.2">
      <c r="A43" s="121"/>
      <c r="B43" s="227" t="s">
        <v>115</v>
      </c>
      <c r="C43" s="227"/>
      <c r="D43" s="227"/>
      <c r="E43" s="228"/>
      <c r="F43" s="228"/>
      <c r="G43" s="228"/>
      <c r="H43" s="229"/>
      <c r="I43" s="229"/>
      <c r="J43" s="228"/>
      <c r="K43" s="230"/>
      <c r="L43" s="230"/>
      <c r="M43" s="230"/>
      <c r="N43" s="123"/>
      <c r="O43" s="231"/>
      <c r="P43" s="230"/>
      <c r="Q43" s="230"/>
      <c r="R43" s="218"/>
      <c r="S43" s="230">
        <f>SUM(S44:S46)</f>
        <v>3635.3500000000004</v>
      </c>
      <c r="T43" s="230">
        <f>SUM(T44:T46)</f>
        <v>3290</v>
      </c>
      <c r="U43" s="230">
        <f>SUM(U44:U46)</f>
        <v>15602290614</v>
      </c>
      <c r="V43" s="230">
        <f>SUM(V44:V46)</f>
        <v>2378528744</v>
      </c>
      <c r="W43" s="121"/>
      <c r="X43" s="300"/>
      <c r="Y43" s="300" t="s">
        <v>115</v>
      </c>
    </row>
    <row r="44" spans="1:25" ht="16.5" hidden="1" customHeight="1" x14ac:dyDescent="0.25">
      <c r="A44" s="121" t="s">
        <v>117</v>
      </c>
      <c r="B44" s="227" t="s">
        <v>97</v>
      </c>
      <c r="C44" s="227"/>
      <c r="D44" s="227"/>
      <c r="E44" s="228">
        <v>682.08</v>
      </c>
      <c r="F44" s="228"/>
      <c r="G44" s="228"/>
      <c r="H44" s="229"/>
      <c r="I44" s="229"/>
      <c r="J44" s="228"/>
      <c r="K44" s="230"/>
      <c r="L44" s="230"/>
      <c r="M44" s="230"/>
      <c r="N44" s="123"/>
      <c r="O44" s="231"/>
      <c r="P44" s="230"/>
      <c r="Q44" s="230"/>
      <c r="R44" s="218">
        <v>2004</v>
      </c>
      <c r="S44" s="228">
        <v>2721.9</v>
      </c>
      <c r="T44" s="121">
        <v>2477</v>
      </c>
      <c r="U44" s="230">
        <v>11060363643</v>
      </c>
      <c r="V44" s="230">
        <v>941626688</v>
      </c>
      <c r="W44" s="222" t="s">
        <v>139</v>
      </c>
      <c r="X44" s="300"/>
      <c r="Y44" s="300" t="s">
        <v>97</v>
      </c>
    </row>
    <row r="45" spans="1:25" ht="16.5" hidden="1" customHeight="1" x14ac:dyDescent="0.25">
      <c r="A45" s="121" t="s">
        <v>117</v>
      </c>
      <c r="B45" s="227" t="s">
        <v>98</v>
      </c>
      <c r="C45" s="227"/>
      <c r="D45" s="227"/>
      <c r="E45" s="228">
        <v>230.55</v>
      </c>
      <c r="F45" s="228"/>
      <c r="G45" s="228"/>
      <c r="H45" s="229"/>
      <c r="I45" s="229"/>
      <c r="J45" s="228"/>
      <c r="K45" s="230"/>
      <c r="L45" s="230"/>
      <c r="M45" s="230"/>
      <c r="N45" s="123"/>
      <c r="O45" s="231"/>
      <c r="P45" s="230"/>
      <c r="Q45" s="230"/>
      <c r="R45" s="218">
        <v>2004</v>
      </c>
      <c r="S45" s="228">
        <v>393.25</v>
      </c>
      <c r="T45" s="121">
        <v>350</v>
      </c>
      <c r="U45" s="230">
        <v>3270166920</v>
      </c>
      <c r="V45" s="230">
        <v>1286101091</v>
      </c>
      <c r="W45" s="222" t="s">
        <v>139</v>
      </c>
      <c r="X45" s="300"/>
      <c r="Y45" s="300" t="s">
        <v>98</v>
      </c>
    </row>
    <row r="46" spans="1:25" ht="16.5" hidden="1" customHeight="1" x14ac:dyDescent="0.25">
      <c r="A46" s="121" t="s">
        <v>117</v>
      </c>
      <c r="B46" s="227" t="s">
        <v>99</v>
      </c>
      <c r="C46" s="227"/>
      <c r="D46" s="227"/>
      <c r="E46" s="228">
        <v>293.3</v>
      </c>
      <c r="F46" s="228"/>
      <c r="G46" s="228"/>
      <c r="H46" s="229"/>
      <c r="I46" s="229"/>
      <c r="J46" s="228"/>
      <c r="K46" s="230"/>
      <c r="L46" s="230"/>
      <c r="M46" s="230"/>
      <c r="N46" s="123"/>
      <c r="O46" s="231"/>
      <c r="P46" s="230"/>
      <c r="Q46" s="230"/>
      <c r="R46" s="218">
        <v>2004</v>
      </c>
      <c r="S46" s="228">
        <v>520.20000000000005</v>
      </c>
      <c r="T46" s="121">
        <v>463</v>
      </c>
      <c r="U46" s="230">
        <v>1271760051</v>
      </c>
      <c r="V46" s="230">
        <v>150800965</v>
      </c>
      <c r="W46" s="222" t="s">
        <v>139</v>
      </c>
      <c r="X46" s="300"/>
      <c r="Y46" s="300" t="s">
        <v>99</v>
      </c>
    </row>
    <row r="47" spans="1:25" ht="16.5" customHeight="1" x14ac:dyDescent="0.25">
      <c r="A47" s="121" t="s">
        <v>167</v>
      </c>
      <c r="B47" s="222"/>
      <c r="C47" s="117" t="s">
        <v>50</v>
      </c>
      <c r="D47" s="227"/>
      <c r="E47" s="228">
        <f>+'PL khai thác'!E54</f>
        <v>3206.6</v>
      </c>
      <c r="F47" s="228"/>
      <c r="G47" s="228"/>
      <c r="H47" s="230"/>
      <c r="I47" s="229"/>
      <c r="J47" s="228"/>
      <c r="K47" s="232"/>
      <c r="L47" s="230"/>
      <c r="M47" s="230"/>
      <c r="N47" s="123"/>
      <c r="O47" s="231"/>
      <c r="P47" s="230"/>
      <c r="Q47" s="169"/>
      <c r="R47" s="217"/>
      <c r="S47" s="230"/>
      <c r="T47" s="121"/>
      <c r="U47" s="230">
        <f>+'PL khai thác'!U54</f>
        <v>127455120000</v>
      </c>
      <c r="V47" s="230">
        <f>+U47</f>
        <v>127455120000</v>
      </c>
      <c r="W47" s="222"/>
      <c r="X47" s="300"/>
      <c r="Y47" s="300"/>
    </row>
    <row r="48" spans="1:25" ht="30" x14ac:dyDescent="0.25">
      <c r="A48" s="121" t="s">
        <v>168</v>
      </c>
      <c r="B48" s="222"/>
      <c r="C48" s="117" t="s">
        <v>115</v>
      </c>
      <c r="D48" s="227"/>
      <c r="E48" s="228"/>
      <c r="F48" s="228"/>
      <c r="G48" s="228"/>
      <c r="H48" s="230"/>
      <c r="I48" s="229"/>
      <c r="J48" s="228"/>
      <c r="K48" s="232"/>
      <c r="L48" s="230"/>
      <c r="M48" s="230"/>
      <c r="N48" s="123"/>
      <c r="O48" s="231"/>
      <c r="P48" s="230"/>
      <c r="Q48" s="169"/>
      <c r="R48" s="217">
        <v>2004</v>
      </c>
      <c r="S48" s="230">
        <f>+'PL khai thác'!S55</f>
        <v>0</v>
      </c>
      <c r="T48" s="230">
        <f>+'PL khai thác'!T55</f>
        <v>0</v>
      </c>
      <c r="U48" s="230">
        <f>+'PL khai thác'!U55</f>
        <v>0</v>
      </c>
      <c r="V48" s="230">
        <f>+'PL khai thác'!V55</f>
        <v>0</v>
      </c>
      <c r="W48" s="222" t="s">
        <v>139</v>
      </c>
      <c r="X48" s="300"/>
      <c r="Y48" s="300"/>
    </row>
    <row r="49" spans="1:25" x14ac:dyDescent="0.25">
      <c r="A49" s="121" t="s">
        <v>189</v>
      </c>
      <c r="B49" s="222"/>
      <c r="C49" s="117" t="s">
        <v>183</v>
      </c>
      <c r="D49" s="227"/>
      <c r="E49" s="228"/>
      <c r="F49" s="228"/>
      <c r="G49" s="228"/>
      <c r="H49" s="230"/>
      <c r="I49" s="229"/>
      <c r="J49" s="228"/>
      <c r="K49" s="232"/>
      <c r="L49" s="230"/>
      <c r="M49" s="230"/>
      <c r="N49" s="123"/>
      <c r="O49" s="231"/>
      <c r="P49" s="230"/>
      <c r="Q49" s="169"/>
      <c r="R49" s="217"/>
      <c r="S49" s="230"/>
      <c r="T49" s="230"/>
      <c r="U49" s="230">
        <f>+'PL khai thác'!U59</f>
        <v>4464120998</v>
      </c>
      <c r="V49" s="230">
        <f>+'PL khai thác'!V59</f>
        <v>0</v>
      </c>
      <c r="W49" s="253"/>
      <c r="X49" s="301"/>
      <c r="Y49" s="301"/>
    </row>
    <row r="50" spans="1:25" s="116" customFormat="1" ht="45" x14ac:dyDescent="0.2">
      <c r="A50" s="121">
        <v>5</v>
      </c>
      <c r="B50" s="222" t="s">
        <v>66</v>
      </c>
      <c r="C50" s="222" t="s">
        <v>119</v>
      </c>
      <c r="D50" s="222" t="s">
        <v>67</v>
      </c>
      <c r="E50" s="228"/>
      <c r="F50" s="228">
        <f>SUM(F51:F52)</f>
        <v>2792.5</v>
      </c>
      <c r="G50" s="228">
        <f>SUM(G51:G52)</f>
        <v>0</v>
      </c>
      <c r="H50" s="121"/>
      <c r="I50" s="229"/>
      <c r="J50" s="228"/>
      <c r="K50" s="230">
        <f>SUM(K51:K52)</f>
        <v>1633803600</v>
      </c>
      <c r="L50" s="230">
        <f>SUM(L51:L52)</f>
        <v>1633803600</v>
      </c>
      <c r="M50" s="230">
        <f>SUM(M51:M52)</f>
        <v>0</v>
      </c>
      <c r="N50" s="123"/>
      <c r="O50" s="231">
        <v>0.01</v>
      </c>
      <c r="P50" s="230">
        <f>+K50*O50</f>
        <v>16338036</v>
      </c>
      <c r="Q50" s="230"/>
      <c r="R50" s="218"/>
      <c r="S50" s="230"/>
      <c r="T50" s="121"/>
      <c r="U50" s="230"/>
      <c r="V50" s="230"/>
      <c r="W50" s="115"/>
      <c r="X50" s="299" t="s">
        <v>152</v>
      </c>
      <c r="Y50" s="299" t="s">
        <v>156</v>
      </c>
    </row>
    <row r="51" spans="1:25" s="116" customFormat="1" ht="38.25" hidden="1" customHeight="1" x14ac:dyDescent="0.2">
      <c r="A51" s="121"/>
      <c r="B51" s="227" t="s">
        <v>10</v>
      </c>
      <c r="C51" s="227"/>
      <c r="D51" s="227"/>
      <c r="E51" s="228">
        <v>2264.1</v>
      </c>
      <c r="F51" s="228">
        <v>2264.1</v>
      </c>
      <c r="G51" s="228"/>
      <c r="H51" s="229">
        <v>924000</v>
      </c>
      <c r="I51" s="229">
        <f>+H51*$I$6</f>
        <v>660000</v>
      </c>
      <c r="J51" s="228">
        <v>1</v>
      </c>
      <c r="K51" s="230">
        <f>SUM(L51:M51)</f>
        <v>1494306000</v>
      </c>
      <c r="L51" s="230">
        <f>F51*I51*J51</f>
        <v>1494306000</v>
      </c>
      <c r="M51" s="230"/>
      <c r="N51" s="123"/>
      <c r="O51" s="231"/>
      <c r="P51" s="230"/>
      <c r="Q51" s="230"/>
      <c r="R51" s="218"/>
      <c r="S51" s="230"/>
      <c r="T51" s="121"/>
      <c r="U51" s="230"/>
      <c r="V51" s="230"/>
      <c r="W51" s="121"/>
      <c r="X51" s="300"/>
      <c r="Y51" s="300" t="s">
        <v>10</v>
      </c>
    </row>
    <row r="52" spans="1:25" s="116" customFormat="1" ht="38.25" hidden="1" customHeight="1" x14ac:dyDescent="0.2">
      <c r="A52" s="121"/>
      <c r="B52" s="227" t="s">
        <v>11</v>
      </c>
      <c r="C52" s="227"/>
      <c r="D52" s="227"/>
      <c r="E52" s="228">
        <v>528.40000000000009</v>
      </c>
      <c r="F52" s="228">
        <v>528.40000000000009</v>
      </c>
      <c r="G52" s="228"/>
      <c r="H52" s="229">
        <f>+H51*0.4</f>
        <v>369600</v>
      </c>
      <c r="I52" s="229">
        <f>+H52*$I$6</f>
        <v>264000</v>
      </c>
      <c r="J52" s="228">
        <v>1</v>
      </c>
      <c r="K52" s="230">
        <f>SUM(L52:M52)</f>
        <v>139497600.00000003</v>
      </c>
      <c r="L52" s="230">
        <f>F52*I52*J52</f>
        <v>139497600.00000003</v>
      </c>
      <c r="M52" s="230"/>
      <c r="N52" s="123"/>
      <c r="O52" s="231"/>
      <c r="P52" s="230"/>
      <c r="Q52" s="230"/>
      <c r="R52" s="218"/>
      <c r="S52" s="230"/>
      <c r="T52" s="121"/>
      <c r="U52" s="230"/>
      <c r="V52" s="230"/>
      <c r="W52" s="121"/>
      <c r="X52" s="300"/>
      <c r="Y52" s="300" t="s">
        <v>11</v>
      </c>
    </row>
    <row r="53" spans="1:25" s="116" customFormat="1" ht="38.25" hidden="1" customHeight="1" x14ac:dyDescent="0.2">
      <c r="A53" s="121"/>
      <c r="B53" s="227" t="s">
        <v>115</v>
      </c>
      <c r="C53" s="227"/>
      <c r="D53" s="227"/>
      <c r="E53" s="228"/>
      <c r="F53" s="228"/>
      <c r="G53" s="228"/>
      <c r="H53" s="229"/>
      <c r="I53" s="229"/>
      <c r="J53" s="228"/>
      <c r="K53" s="230"/>
      <c r="L53" s="230"/>
      <c r="M53" s="230"/>
      <c r="N53" s="123"/>
      <c r="O53" s="231"/>
      <c r="P53" s="230"/>
      <c r="Q53" s="230"/>
      <c r="R53" s="218"/>
      <c r="S53" s="230">
        <f>SUM(S54:S57)</f>
        <v>1319.2</v>
      </c>
      <c r="T53" s="230">
        <f>SUM(T54:T57)</f>
        <v>1070.0799999999997</v>
      </c>
      <c r="U53" s="230">
        <f>SUM(U54:U57)</f>
        <v>3714495000</v>
      </c>
      <c r="V53" s="230">
        <f>SUM(V54:V57)</f>
        <v>2038008813</v>
      </c>
      <c r="W53" s="121"/>
      <c r="X53" s="300"/>
      <c r="Y53" s="300" t="s">
        <v>115</v>
      </c>
    </row>
    <row r="54" spans="1:25" ht="16.5" hidden="1" customHeight="1" x14ac:dyDescent="0.25">
      <c r="A54" s="121" t="s">
        <v>117</v>
      </c>
      <c r="B54" s="227" t="s">
        <v>88</v>
      </c>
      <c r="C54" s="227"/>
      <c r="D54" s="227"/>
      <c r="E54" s="228"/>
      <c r="F54" s="228"/>
      <c r="G54" s="228"/>
      <c r="H54" s="229"/>
      <c r="I54" s="229"/>
      <c r="J54" s="228"/>
      <c r="K54" s="230"/>
      <c r="L54" s="230"/>
      <c r="M54" s="230"/>
      <c r="N54" s="123"/>
      <c r="O54" s="231"/>
      <c r="P54" s="230"/>
      <c r="Q54" s="230"/>
      <c r="R54" s="218">
        <v>2003</v>
      </c>
      <c r="S54" s="230">
        <v>1002</v>
      </c>
      <c r="T54" s="121">
        <v>788.4699999999998</v>
      </c>
      <c r="U54" s="230">
        <v>2982354000</v>
      </c>
      <c r="V54" s="230">
        <v>1938943480</v>
      </c>
      <c r="W54" s="222" t="s">
        <v>139</v>
      </c>
      <c r="X54" s="300"/>
      <c r="Y54" s="300" t="s">
        <v>88</v>
      </c>
    </row>
    <row r="55" spans="1:25" ht="16.5" hidden="1" customHeight="1" x14ac:dyDescent="0.25">
      <c r="A55" s="121" t="s">
        <v>117</v>
      </c>
      <c r="B55" s="227" t="s">
        <v>89</v>
      </c>
      <c r="C55" s="227"/>
      <c r="D55" s="227"/>
      <c r="E55" s="228"/>
      <c r="F55" s="228"/>
      <c r="G55" s="228"/>
      <c r="H55" s="229"/>
      <c r="I55" s="229"/>
      <c r="J55" s="228"/>
      <c r="K55" s="230"/>
      <c r="L55" s="230"/>
      <c r="M55" s="230"/>
      <c r="N55" s="123"/>
      <c r="O55" s="231"/>
      <c r="P55" s="230"/>
      <c r="Q55" s="230"/>
      <c r="R55" s="218">
        <v>2003</v>
      </c>
      <c r="S55" s="230">
        <v>151.19999999999999</v>
      </c>
      <c r="T55" s="121">
        <v>128.81</v>
      </c>
      <c r="U55" s="230">
        <v>236810000</v>
      </c>
      <c r="V55" s="230">
        <v>0</v>
      </c>
      <c r="W55" s="222" t="s">
        <v>139</v>
      </c>
      <c r="X55" s="300"/>
      <c r="Y55" s="300" t="s">
        <v>89</v>
      </c>
    </row>
    <row r="56" spans="1:25" ht="16.5" hidden="1" customHeight="1" x14ac:dyDescent="0.25">
      <c r="A56" s="121" t="s">
        <v>117</v>
      </c>
      <c r="B56" s="227" t="s">
        <v>92</v>
      </c>
      <c r="C56" s="227"/>
      <c r="D56" s="227"/>
      <c r="E56" s="228"/>
      <c r="F56" s="228"/>
      <c r="G56" s="228"/>
      <c r="H56" s="229"/>
      <c r="I56" s="229"/>
      <c r="J56" s="228"/>
      <c r="K56" s="230"/>
      <c r="L56" s="230"/>
      <c r="M56" s="230"/>
      <c r="N56" s="123"/>
      <c r="O56" s="231"/>
      <c r="P56" s="230"/>
      <c r="Q56" s="230"/>
      <c r="R56" s="218">
        <v>2003</v>
      </c>
      <c r="S56" s="230">
        <v>81</v>
      </c>
      <c r="T56" s="121">
        <v>75.260000000000005</v>
      </c>
      <c r="U56" s="230">
        <v>123836000</v>
      </c>
      <c r="V56" s="230">
        <v>0</v>
      </c>
      <c r="W56" s="222" t="s">
        <v>139</v>
      </c>
      <c r="X56" s="300"/>
      <c r="Y56" s="300" t="s">
        <v>92</v>
      </c>
    </row>
    <row r="57" spans="1:25" ht="16.5" hidden="1" customHeight="1" x14ac:dyDescent="0.25">
      <c r="A57" s="121" t="s">
        <v>117</v>
      </c>
      <c r="B57" s="227" t="s">
        <v>91</v>
      </c>
      <c r="C57" s="227"/>
      <c r="D57" s="227"/>
      <c r="E57" s="228"/>
      <c r="F57" s="228"/>
      <c r="G57" s="228"/>
      <c r="H57" s="229"/>
      <c r="I57" s="229"/>
      <c r="J57" s="228"/>
      <c r="K57" s="230"/>
      <c r="L57" s="230"/>
      <c r="M57" s="230"/>
      <c r="N57" s="123"/>
      <c r="O57" s="231"/>
      <c r="P57" s="230"/>
      <c r="Q57" s="230"/>
      <c r="R57" s="218">
        <v>2014</v>
      </c>
      <c r="S57" s="230">
        <v>85</v>
      </c>
      <c r="T57" s="121">
        <v>77.539999999999992</v>
      </c>
      <c r="U57" s="230">
        <v>371495000</v>
      </c>
      <c r="V57" s="230">
        <v>99065333</v>
      </c>
      <c r="W57" s="222" t="s">
        <v>139</v>
      </c>
      <c r="X57" s="300"/>
      <c r="Y57" s="300" t="s">
        <v>91</v>
      </c>
    </row>
    <row r="58" spans="1:25" s="97" customFormat="1" ht="38.25" hidden="1" customHeight="1" x14ac:dyDescent="0.25">
      <c r="A58" s="121" t="s">
        <v>117</v>
      </c>
      <c r="B58" s="227" t="s">
        <v>90</v>
      </c>
      <c r="C58" s="227"/>
      <c r="D58" s="227"/>
      <c r="E58" s="228"/>
      <c r="F58" s="228"/>
      <c r="G58" s="228"/>
      <c r="H58" s="229"/>
      <c r="I58" s="229"/>
      <c r="J58" s="228"/>
      <c r="K58" s="230"/>
      <c r="L58" s="230"/>
      <c r="M58" s="230"/>
      <c r="N58" s="123"/>
      <c r="O58" s="231"/>
      <c r="P58" s="230"/>
      <c r="Q58" s="230"/>
      <c r="R58" s="218">
        <v>2014</v>
      </c>
      <c r="S58" s="230">
        <v>211.8</v>
      </c>
      <c r="T58" s="121">
        <v>200.71999999999997</v>
      </c>
      <c r="U58" s="230">
        <v>2377001000</v>
      </c>
      <c r="V58" s="230">
        <v>633866933</v>
      </c>
      <c r="W58" s="222" t="s">
        <v>103</v>
      </c>
      <c r="X58" s="300"/>
      <c r="Y58" s="300" t="s">
        <v>90</v>
      </c>
    </row>
    <row r="59" spans="1:25" ht="16.5" customHeight="1" x14ac:dyDescent="0.25">
      <c r="A59" s="121" t="s">
        <v>169</v>
      </c>
      <c r="B59" s="222"/>
      <c r="C59" s="117" t="s">
        <v>50</v>
      </c>
      <c r="D59" s="227"/>
      <c r="E59" s="228">
        <f>+'PL khai thác'!E73</f>
        <v>2792.5</v>
      </c>
      <c r="F59" s="228"/>
      <c r="G59" s="228"/>
      <c r="H59" s="230"/>
      <c r="I59" s="229"/>
      <c r="J59" s="228"/>
      <c r="K59" s="232"/>
      <c r="L59" s="230"/>
      <c r="M59" s="230"/>
      <c r="N59" s="123"/>
      <c r="O59" s="231"/>
      <c r="P59" s="230"/>
      <c r="Q59" s="169"/>
      <c r="R59" s="217"/>
      <c r="S59" s="230"/>
      <c r="T59" s="121"/>
      <c r="U59" s="230">
        <f>+'PL khai thác'!U73</f>
        <v>3812208400</v>
      </c>
      <c r="V59" s="230">
        <f>+'PL khai thác'!V73</f>
        <v>3812208400</v>
      </c>
      <c r="W59" s="222"/>
      <c r="X59" s="300"/>
      <c r="Y59" s="300"/>
    </row>
    <row r="60" spans="1:25" ht="30" x14ac:dyDescent="0.25">
      <c r="A60" s="121" t="s">
        <v>170</v>
      </c>
      <c r="B60" s="222"/>
      <c r="C60" s="117" t="s">
        <v>115</v>
      </c>
      <c r="D60" s="227"/>
      <c r="E60" s="228"/>
      <c r="F60" s="228"/>
      <c r="G60" s="228"/>
      <c r="H60" s="230"/>
      <c r="I60" s="229"/>
      <c r="J60" s="228"/>
      <c r="K60" s="232"/>
      <c r="L60" s="230"/>
      <c r="M60" s="230"/>
      <c r="N60" s="123"/>
      <c r="O60" s="231"/>
      <c r="P60" s="230"/>
      <c r="Q60" s="169"/>
      <c r="R60" s="217">
        <v>2003</v>
      </c>
      <c r="S60" s="230">
        <f>+'PL khai thác'!S74</f>
        <v>0</v>
      </c>
      <c r="T60" s="230">
        <f>+'PL khai thác'!T74</f>
        <v>0</v>
      </c>
      <c r="U60" s="230">
        <f>+'PL khai thác'!U74</f>
        <v>0</v>
      </c>
      <c r="V60" s="230">
        <f>+'PL khai thác'!V74</f>
        <v>0</v>
      </c>
      <c r="W60" s="222" t="s">
        <v>139</v>
      </c>
      <c r="X60" s="301"/>
      <c r="Y60" s="301"/>
    </row>
    <row r="61" spans="1:25" s="116" customFormat="1" ht="60" customHeight="1" x14ac:dyDescent="0.2">
      <c r="A61" s="121">
        <v>6</v>
      </c>
      <c r="B61" s="222" t="s">
        <v>113</v>
      </c>
      <c r="C61" s="222" t="s">
        <v>118</v>
      </c>
      <c r="D61" s="222" t="s">
        <v>69</v>
      </c>
      <c r="E61" s="228"/>
      <c r="F61" s="228"/>
      <c r="G61" s="228">
        <f>SUM(G62:G63)</f>
        <v>0</v>
      </c>
      <c r="H61" s="121"/>
      <c r="I61" s="229"/>
      <c r="J61" s="228"/>
      <c r="K61" s="230">
        <f>SUM(K62:K63)</f>
        <v>31864762285.714283</v>
      </c>
      <c r="L61" s="230">
        <f>SUM(L62:L63)</f>
        <v>31864762285.714283</v>
      </c>
      <c r="M61" s="230">
        <f>SUM(M62:M63)</f>
        <v>0</v>
      </c>
      <c r="N61" s="123"/>
      <c r="O61" s="234">
        <v>7.4999999999999997E-3</v>
      </c>
      <c r="P61" s="230">
        <f>+K61*O61</f>
        <v>238985717.1428571</v>
      </c>
      <c r="Q61" s="218">
        <v>2002</v>
      </c>
      <c r="R61" s="218"/>
      <c r="S61" s="230"/>
      <c r="T61" s="121"/>
      <c r="U61" s="230"/>
      <c r="V61" s="230"/>
      <c r="X61" s="299" t="s">
        <v>152</v>
      </c>
      <c r="Y61" s="302" t="s">
        <v>150</v>
      </c>
    </row>
    <row r="62" spans="1:25" s="116" customFormat="1" ht="38.25" hidden="1" customHeight="1" x14ac:dyDescent="0.2">
      <c r="A62" s="121"/>
      <c r="B62" s="227" t="s">
        <v>10</v>
      </c>
      <c r="C62" s="227"/>
      <c r="D62" s="227"/>
      <c r="E62" s="228">
        <v>2829.1</v>
      </c>
      <c r="F62" s="228">
        <v>2829.1</v>
      </c>
      <c r="G62" s="228"/>
      <c r="H62" s="229">
        <v>3960000</v>
      </c>
      <c r="I62" s="229">
        <f>+H62*$I$6</f>
        <v>2828571.4285714286</v>
      </c>
      <c r="J62" s="228">
        <v>1.2</v>
      </c>
      <c r="K62" s="230">
        <f>SUM(L62:M62)</f>
        <v>9602773714.2857132</v>
      </c>
      <c r="L62" s="230">
        <f>F62*I62*J62</f>
        <v>9602773714.2857132</v>
      </c>
      <c r="M62" s="230"/>
      <c r="N62" s="123"/>
      <c r="O62" s="231"/>
      <c r="P62" s="230"/>
      <c r="Q62" s="230"/>
      <c r="R62" s="218"/>
      <c r="S62" s="230"/>
      <c r="T62" s="121"/>
      <c r="U62" s="230"/>
      <c r="V62" s="230"/>
      <c r="W62" s="121"/>
      <c r="X62" s="300"/>
      <c r="Y62" s="303"/>
    </row>
    <row r="63" spans="1:25" s="116" customFormat="1" ht="38.25" hidden="1" customHeight="1" x14ac:dyDescent="0.2">
      <c r="A63" s="121"/>
      <c r="B63" s="227" t="s">
        <v>11</v>
      </c>
      <c r="C63" s="227"/>
      <c r="D63" s="227"/>
      <c r="E63" s="228">
        <v>1967.6</v>
      </c>
      <c r="F63" s="228">
        <v>1967.6</v>
      </c>
      <c r="G63" s="228"/>
      <c r="H63" s="229">
        <f>+H62*4</f>
        <v>15840000</v>
      </c>
      <c r="I63" s="229">
        <f>+H63*$I$6</f>
        <v>11314285.714285715</v>
      </c>
      <c r="J63" s="228">
        <v>1</v>
      </c>
      <c r="K63" s="230">
        <f>SUM(L63:M63)</f>
        <v>22261988571.42857</v>
      </c>
      <c r="L63" s="230">
        <f>F63*I63*J63</f>
        <v>22261988571.42857</v>
      </c>
      <c r="M63" s="230"/>
      <c r="N63" s="123"/>
      <c r="O63" s="231"/>
      <c r="P63" s="230"/>
      <c r="Q63" s="230"/>
      <c r="R63" s="218"/>
      <c r="S63" s="230"/>
      <c r="T63" s="121"/>
      <c r="U63" s="230"/>
      <c r="V63" s="230"/>
      <c r="W63" s="121"/>
      <c r="X63" s="300"/>
      <c r="Y63" s="303"/>
    </row>
    <row r="64" spans="1:25" s="116" customFormat="1" ht="38.25" hidden="1" customHeight="1" x14ac:dyDescent="0.2">
      <c r="A64" s="121"/>
      <c r="B64" s="227" t="s">
        <v>115</v>
      </c>
      <c r="C64" s="227"/>
      <c r="D64" s="227"/>
      <c r="E64" s="228"/>
      <c r="F64" s="228"/>
      <c r="G64" s="228"/>
      <c r="H64" s="229"/>
      <c r="I64" s="229"/>
      <c r="J64" s="228"/>
      <c r="K64" s="230"/>
      <c r="L64" s="230"/>
      <c r="M64" s="230"/>
      <c r="N64" s="123"/>
      <c r="O64" s="231"/>
      <c r="P64" s="230"/>
      <c r="Q64" s="230"/>
      <c r="R64" s="218"/>
      <c r="S64" s="230">
        <f>SUM(S65:S66)</f>
        <v>2823.2999999999997</v>
      </c>
      <c r="T64" s="230">
        <f>SUM(T65:T66)</f>
        <v>2472.7999999999997</v>
      </c>
      <c r="U64" s="230">
        <f>SUM(U65:U66)</f>
        <v>8891793000</v>
      </c>
      <c r="V64" s="230">
        <f>SUM(V65:V66)</f>
        <v>2909836842</v>
      </c>
      <c r="W64" s="121"/>
      <c r="X64" s="300"/>
      <c r="Y64" s="303"/>
    </row>
    <row r="65" spans="1:25" ht="16.5" hidden="1" customHeight="1" x14ac:dyDescent="0.25">
      <c r="A65" s="121" t="s">
        <v>117</v>
      </c>
      <c r="B65" s="227" t="s">
        <v>93</v>
      </c>
      <c r="C65" s="227"/>
      <c r="D65" s="227"/>
      <c r="E65" s="228"/>
      <c r="F65" s="228"/>
      <c r="G65" s="228"/>
      <c r="H65" s="229"/>
      <c r="I65" s="229"/>
      <c r="J65" s="228"/>
      <c r="K65" s="230"/>
      <c r="L65" s="230"/>
      <c r="M65" s="230"/>
      <c r="N65" s="123"/>
      <c r="O65" s="231"/>
      <c r="P65" s="230"/>
      <c r="Q65" s="169">
        <v>2002</v>
      </c>
      <c r="R65" s="218">
        <v>2004</v>
      </c>
      <c r="S65" s="230">
        <v>2492.1</v>
      </c>
      <c r="T65" s="121">
        <v>2168.1</v>
      </c>
      <c r="U65" s="230">
        <v>8471698279</v>
      </c>
      <c r="V65" s="230">
        <v>2909836842</v>
      </c>
      <c r="W65" s="222" t="s">
        <v>139</v>
      </c>
      <c r="X65" s="300"/>
      <c r="Y65" s="303"/>
    </row>
    <row r="66" spans="1:25" ht="16.5" hidden="1" customHeight="1" x14ac:dyDescent="0.25">
      <c r="A66" s="121" t="s">
        <v>117</v>
      </c>
      <c r="B66" s="227" t="s">
        <v>92</v>
      </c>
      <c r="C66" s="227"/>
      <c r="D66" s="227"/>
      <c r="E66" s="228"/>
      <c r="F66" s="228"/>
      <c r="G66" s="228"/>
      <c r="H66" s="229"/>
      <c r="I66" s="229"/>
      <c r="J66" s="228"/>
      <c r="K66" s="230"/>
      <c r="L66" s="230"/>
      <c r="M66" s="230"/>
      <c r="N66" s="123"/>
      <c r="O66" s="231"/>
      <c r="P66" s="230"/>
      <c r="Q66" s="169">
        <v>2002</v>
      </c>
      <c r="R66" s="218">
        <v>2004</v>
      </c>
      <c r="S66" s="230">
        <v>331.2</v>
      </c>
      <c r="T66" s="121">
        <v>304.7</v>
      </c>
      <c r="U66" s="230">
        <v>420094721</v>
      </c>
      <c r="V66" s="230">
        <v>0</v>
      </c>
      <c r="W66" s="222" t="s">
        <v>139</v>
      </c>
      <c r="X66" s="300"/>
      <c r="Y66" s="303"/>
    </row>
    <row r="67" spans="1:25" ht="16.5" customHeight="1" x14ac:dyDescent="0.25">
      <c r="A67" s="121" t="s">
        <v>171</v>
      </c>
      <c r="B67" s="222"/>
      <c r="C67" s="117" t="s">
        <v>50</v>
      </c>
      <c r="D67" s="227"/>
      <c r="E67" s="228">
        <f>+'PL khai thác'!E84</f>
        <v>4796.7</v>
      </c>
      <c r="F67" s="228"/>
      <c r="G67" s="228"/>
      <c r="H67" s="230"/>
      <c r="I67" s="229"/>
      <c r="J67" s="228"/>
      <c r="K67" s="232"/>
      <c r="L67" s="230"/>
      <c r="M67" s="230"/>
      <c r="N67" s="123"/>
      <c r="O67" s="231"/>
      <c r="P67" s="230"/>
      <c r="Q67" s="169"/>
      <c r="R67" s="217"/>
      <c r="S67" s="230"/>
      <c r="T67" s="121"/>
      <c r="U67" s="230">
        <f>+'PL khai thác'!U84</f>
        <v>39728620000</v>
      </c>
      <c r="V67" s="230">
        <f>+U67</f>
        <v>39728620000</v>
      </c>
      <c r="W67" s="222"/>
      <c r="X67" s="300"/>
      <c r="Y67" s="303"/>
    </row>
    <row r="68" spans="1:25" ht="30" x14ac:dyDescent="0.25">
      <c r="A68" s="121" t="s">
        <v>172</v>
      </c>
      <c r="B68" s="222"/>
      <c r="C68" s="117" t="s">
        <v>115</v>
      </c>
      <c r="D68" s="227"/>
      <c r="E68" s="228"/>
      <c r="F68" s="228"/>
      <c r="G68" s="228"/>
      <c r="H68" s="230"/>
      <c r="I68" s="229"/>
      <c r="J68" s="228"/>
      <c r="K68" s="232"/>
      <c r="L68" s="230"/>
      <c r="M68" s="230"/>
      <c r="N68" s="123"/>
      <c r="O68" s="231"/>
      <c r="P68" s="230"/>
      <c r="Q68" s="169"/>
      <c r="R68" s="217">
        <v>2004</v>
      </c>
      <c r="S68" s="230">
        <f>+'PL khai thác'!S85</f>
        <v>0</v>
      </c>
      <c r="T68" s="230">
        <f>+'PL khai thác'!T85</f>
        <v>0</v>
      </c>
      <c r="U68" s="230">
        <f>+'PL khai thác'!U85</f>
        <v>0</v>
      </c>
      <c r="V68" s="230">
        <f>+'PL khai thác'!V85</f>
        <v>0</v>
      </c>
      <c r="W68" s="222" t="s">
        <v>139</v>
      </c>
      <c r="X68" s="301"/>
      <c r="Y68" s="304"/>
    </row>
    <row r="69" spans="1:25" s="116" customFormat="1" ht="38.25" customHeight="1" x14ac:dyDescent="0.2">
      <c r="A69" s="121">
        <v>7</v>
      </c>
      <c r="B69" s="222" t="s">
        <v>114</v>
      </c>
      <c r="C69" s="108" t="s">
        <v>118</v>
      </c>
      <c r="D69" s="222" t="s">
        <v>71</v>
      </c>
      <c r="E69" s="228"/>
      <c r="F69" s="228"/>
      <c r="G69" s="228">
        <f>SUM(G70:G71)</f>
        <v>0</v>
      </c>
      <c r="H69" s="121"/>
      <c r="I69" s="229"/>
      <c r="J69" s="228"/>
      <c r="K69" s="230">
        <f>SUM(K70:K71)</f>
        <v>8240400000</v>
      </c>
      <c r="L69" s="230">
        <f>SUM(L70:L71)</f>
        <v>8240400000</v>
      </c>
      <c r="M69" s="230">
        <f>SUM(M70:M71)</f>
        <v>0</v>
      </c>
      <c r="N69" s="123"/>
      <c r="O69" s="234">
        <v>7.4999999999999997E-3</v>
      </c>
      <c r="P69" s="230">
        <f>+K69*O69</f>
        <v>61803000</v>
      </c>
      <c r="Q69" s="218">
        <v>2011</v>
      </c>
      <c r="R69" s="218"/>
      <c r="S69" s="230"/>
      <c r="T69" s="121"/>
      <c r="U69" s="230"/>
      <c r="V69" s="230"/>
      <c r="X69" s="299" t="s">
        <v>152</v>
      </c>
      <c r="Y69" s="302" t="s">
        <v>151</v>
      </c>
    </row>
    <row r="70" spans="1:25" s="116" customFormat="1" ht="14.25" hidden="1" customHeight="1" x14ac:dyDescent="0.2">
      <c r="A70" s="101"/>
      <c r="B70" s="150" t="s">
        <v>10</v>
      </c>
      <c r="C70" s="150"/>
      <c r="D70" s="150"/>
      <c r="E70" s="109">
        <v>5362</v>
      </c>
      <c r="F70" s="156">
        <v>5362</v>
      </c>
      <c r="G70" s="109"/>
      <c r="H70" s="130">
        <v>1800000</v>
      </c>
      <c r="I70" s="130">
        <f>+H70*$I$6</f>
        <v>1285714.2857142857</v>
      </c>
      <c r="J70" s="109">
        <v>1</v>
      </c>
      <c r="K70" s="112">
        <f>SUM(L70:M70)</f>
        <v>6894000000</v>
      </c>
      <c r="L70" s="112">
        <f>F70*I70*J70</f>
        <v>6894000000</v>
      </c>
      <c r="M70" s="112"/>
      <c r="N70" s="131"/>
      <c r="O70" s="113"/>
      <c r="P70" s="114"/>
      <c r="Q70" s="114"/>
      <c r="R70" s="216"/>
      <c r="S70" s="114"/>
      <c r="T70" s="115"/>
      <c r="U70" s="114"/>
      <c r="V70" s="114"/>
      <c r="W70" s="115"/>
      <c r="X70" s="300"/>
      <c r="Y70" s="303"/>
    </row>
    <row r="71" spans="1:25" s="116" customFormat="1" ht="14.25" hidden="1" customHeight="1" x14ac:dyDescent="0.2">
      <c r="A71" s="101"/>
      <c r="B71" s="150" t="s">
        <v>11</v>
      </c>
      <c r="C71" s="150"/>
      <c r="D71" s="150"/>
      <c r="E71" s="109">
        <v>2618</v>
      </c>
      <c r="F71" s="157">
        <v>2618</v>
      </c>
      <c r="G71" s="109"/>
      <c r="H71" s="130">
        <f>+H70*0.4</f>
        <v>720000</v>
      </c>
      <c r="I71" s="130">
        <f>+H71*$I$6</f>
        <v>514285.71428571432</v>
      </c>
      <c r="J71" s="109">
        <v>1</v>
      </c>
      <c r="K71" s="112">
        <f>SUM(L71:M71)</f>
        <v>1346400000</v>
      </c>
      <c r="L71" s="112">
        <f>F71*I71*J71</f>
        <v>1346400000</v>
      </c>
      <c r="M71" s="112"/>
      <c r="N71" s="131"/>
      <c r="O71" s="113"/>
      <c r="P71" s="114"/>
      <c r="Q71" s="114"/>
      <c r="R71" s="216"/>
      <c r="S71" s="114"/>
      <c r="T71" s="115"/>
      <c r="U71" s="114"/>
      <c r="V71" s="114"/>
      <c r="W71" s="115"/>
      <c r="X71" s="300"/>
      <c r="Y71" s="303"/>
    </row>
    <row r="72" spans="1:25" s="116" customFormat="1" ht="14.25" hidden="1" customHeight="1" x14ac:dyDescent="0.2">
      <c r="A72" s="101"/>
      <c r="B72" s="150" t="s">
        <v>115</v>
      </c>
      <c r="C72" s="150"/>
      <c r="D72" s="150"/>
      <c r="E72" s="109"/>
      <c r="F72" s="157"/>
      <c r="G72" s="109"/>
      <c r="H72" s="130"/>
      <c r="I72" s="130"/>
      <c r="J72" s="109"/>
      <c r="K72" s="112"/>
      <c r="L72" s="112"/>
      <c r="M72" s="112"/>
      <c r="N72" s="131"/>
      <c r="O72" s="113"/>
      <c r="P72" s="114"/>
      <c r="Q72" s="114"/>
      <c r="R72" s="216"/>
      <c r="S72" s="114">
        <f>SUM(S73:S75)</f>
        <v>2527</v>
      </c>
      <c r="T72" s="114">
        <f>SUM(T73:T75)</f>
        <v>2230.11</v>
      </c>
      <c r="U72" s="114">
        <f>SUM(U73:U75)</f>
        <v>27002582000</v>
      </c>
      <c r="V72" s="114">
        <f>SUM(V73:V75)</f>
        <v>11881136520</v>
      </c>
      <c r="W72" s="115"/>
      <c r="X72" s="300"/>
      <c r="Y72" s="303"/>
    </row>
    <row r="73" spans="1:25" ht="16.5" hidden="1" customHeight="1" x14ac:dyDescent="0.25">
      <c r="A73" s="121" t="s">
        <v>117</v>
      </c>
      <c r="B73" s="117" t="s">
        <v>96</v>
      </c>
      <c r="C73" s="117"/>
      <c r="D73" s="117"/>
      <c r="E73" s="111"/>
      <c r="F73" s="132"/>
      <c r="G73" s="111"/>
      <c r="H73" s="110"/>
      <c r="I73" s="110"/>
      <c r="J73" s="111"/>
      <c r="K73" s="118"/>
      <c r="L73" s="118"/>
      <c r="M73" s="118"/>
      <c r="N73" s="123"/>
      <c r="O73" s="113"/>
      <c r="P73" s="114"/>
      <c r="Q73" s="125">
        <v>2011</v>
      </c>
      <c r="R73" s="218">
        <v>2012</v>
      </c>
      <c r="S73" s="119">
        <v>1823</v>
      </c>
      <c r="T73" s="120">
        <v>1586.01</v>
      </c>
      <c r="U73" s="119">
        <v>19479900000</v>
      </c>
      <c r="V73" s="119">
        <v>11460109320</v>
      </c>
      <c r="W73" s="194" t="s">
        <v>139</v>
      </c>
      <c r="X73" s="300"/>
      <c r="Y73" s="303"/>
    </row>
    <row r="74" spans="1:25" ht="16.5" hidden="1" customHeight="1" x14ac:dyDescent="0.25">
      <c r="A74" s="121" t="s">
        <v>117</v>
      </c>
      <c r="B74" s="117" t="s">
        <v>94</v>
      </c>
      <c r="C74" s="117"/>
      <c r="D74" s="117"/>
      <c r="E74" s="111"/>
      <c r="F74" s="132"/>
      <c r="G74" s="111"/>
      <c r="H74" s="110"/>
      <c r="I74" s="110"/>
      <c r="J74" s="111"/>
      <c r="K74" s="118"/>
      <c r="L74" s="118"/>
      <c r="M74" s="118"/>
      <c r="N74" s="123"/>
      <c r="O74" s="113"/>
      <c r="P74" s="114"/>
      <c r="Q74" s="125">
        <v>2011</v>
      </c>
      <c r="R74" s="218">
        <v>2012</v>
      </c>
      <c r="S74" s="119">
        <v>352</v>
      </c>
      <c r="T74" s="120">
        <v>320.3</v>
      </c>
      <c r="U74" s="119">
        <v>3761341000</v>
      </c>
      <c r="V74" s="119">
        <v>210513600</v>
      </c>
      <c r="W74" s="194" t="s">
        <v>139</v>
      </c>
      <c r="X74" s="300"/>
      <c r="Y74" s="303"/>
    </row>
    <row r="75" spans="1:25" ht="16.5" hidden="1" customHeight="1" x14ac:dyDescent="0.25">
      <c r="A75" s="121" t="s">
        <v>117</v>
      </c>
      <c r="B75" s="117" t="s">
        <v>95</v>
      </c>
      <c r="C75" s="117"/>
      <c r="D75" s="117"/>
      <c r="E75" s="111"/>
      <c r="F75" s="132"/>
      <c r="G75" s="111"/>
      <c r="H75" s="110"/>
      <c r="I75" s="110"/>
      <c r="J75" s="111"/>
      <c r="K75" s="118"/>
      <c r="L75" s="118"/>
      <c r="M75" s="118"/>
      <c r="N75" s="123"/>
      <c r="O75" s="113"/>
      <c r="P75" s="114"/>
      <c r="Q75" s="125">
        <v>2011</v>
      </c>
      <c r="R75" s="218">
        <v>2012</v>
      </c>
      <c r="S75" s="119">
        <v>352</v>
      </c>
      <c r="T75" s="120">
        <v>323.8</v>
      </c>
      <c r="U75" s="119">
        <f>+U74</f>
        <v>3761341000</v>
      </c>
      <c r="V75" s="119">
        <f>+V74</f>
        <v>210513600</v>
      </c>
      <c r="W75" s="194" t="s">
        <v>139</v>
      </c>
      <c r="X75" s="300"/>
      <c r="Y75" s="303"/>
    </row>
    <row r="76" spans="1:25" ht="16.5" customHeight="1" x14ac:dyDescent="0.25">
      <c r="A76" s="121" t="s">
        <v>173</v>
      </c>
      <c r="B76" s="222"/>
      <c r="C76" s="117" t="s">
        <v>50</v>
      </c>
      <c r="D76" s="227"/>
      <c r="E76" s="228">
        <f>+'PL khai thác'!E91</f>
        <v>5785.3</v>
      </c>
      <c r="F76" s="228"/>
      <c r="G76" s="228"/>
      <c r="H76" s="230"/>
      <c r="I76" s="229"/>
      <c r="J76" s="228"/>
      <c r="K76" s="232"/>
      <c r="L76" s="230"/>
      <c r="M76" s="230"/>
      <c r="N76" s="123"/>
      <c r="O76" s="231"/>
      <c r="P76" s="230"/>
      <c r="Q76" s="169"/>
      <c r="R76" s="217"/>
      <c r="S76" s="230"/>
      <c r="T76" s="121"/>
      <c r="U76" s="230">
        <f>+'PL khai thác'!U91</f>
        <v>19359620000</v>
      </c>
      <c r="V76" s="230">
        <f>+U76</f>
        <v>19359620000</v>
      </c>
      <c r="W76" s="222"/>
      <c r="X76" s="300"/>
      <c r="Y76" s="303"/>
    </row>
    <row r="77" spans="1:25" ht="30" x14ac:dyDescent="0.25">
      <c r="A77" s="121" t="s">
        <v>174</v>
      </c>
      <c r="B77" s="222"/>
      <c r="C77" s="117" t="s">
        <v>115</v>
      </c>
      <c r="D77" s="227"/>
      <c r="E77" s="228"/>
      <c r="F77" s="228"/>
      <c r="G77" s="228"/>
      <c r="H77" s="230"/>
      <c r="I77" s="229"/>
      <c r="J77" s="228"/>
      <c r="K77" s="232"/>
      <c r="L77" s="230"/>
      <c r="M77" s="230"/>
      <c r="N77" s="123"/>
      <c r="O77" s="231"/>
      <c r="P77" s="230"/>
      <c r="Q77" s="169"/>
      <c r="R77" s="217">
        <v>2012</v>
      </c>
      <c r="S77" s="230">
        <f>+'PL khai thác'!S92</f>
        <v>2527</v>
      </c>
      <c r="T77" s="230">
        <f>+'PL khai thác'!T92</f>
        <v>2230.11</v>
      </c>
      <c r="U77" s="230">
        <f>+'PL khai thác'!U92</f>
        <v>27002582000</v>
      </c>
      <c r="V77" s="230">
        <f>+'PL khai thác'!V92</f>
        <v>11881136520</v>
      </c>
      <c r="W77" s="222" t="s">
        <v>139</v>
      </c>
      <c r="X77" s="301"/>
      <c r="Y77" s="304"/>
    </row>
    <row r="78" spans="1:25" ht="23.25" customHeight="1" x14ac:dyDescent="0.25">
      <c r="A78" s="282" t="s">
        <v>53</v>
      </c>
      <c r="B78" s="282"/>
      <c r="C78" s="282"/>
      <c r="D78" s="282"/>
      <c r="E78" s="109">
        <f>+E76+E67+E59+E47+E36+E25+E17</f>
        <v>21306.999999999996</v>
      </c>
      <c r="F78" s="157"/>
      <c r="G78" s="109"/>
      <c r="H78" s="130"/>
      <c r="I78" s="130"/>
      <c r="J78" s="109"/>
      <c r="K78" s="112"/>
      <c r="L78" s="112"/>
      <c r="M78" s="112"/>
      <c r="N78" s="131"/>
      <c r="O78" s="114"/>
      <c r="P78" s="114"/>
      <c r="Q78" s="114"/>
      <c r="R78" s="216"/>
      <c r="S78" s="109">
        <f>+S77+S68+S60+S48+S37+S26+S18</f>
        <v>2527</v>
      </c>
      <c r="T78" s="109">
        <f>+T77+T68+T60+T48+T37+T26+T18</f>
        <v>2230.11</v>
      </c>
      <c r="U78" s="109">
        <f>+U69+U61+U50+U39+U27+U20+U7</f>
        <v>0</v>
      </c>
      <c r="V78" s="109">
        <f>+V69+V61+V50+V39+V27+V20+V7</f>
        <v>0</v>
      </c>
      <c r="W78" s="120"/>
      <c r="X78" s="120"/>
      <c r="Y78" s="121"/>
    </row>
    <row r="80" spans="1:25" x14ac:dyDescent="0.25">
      <c r="A80" s="240"/>
    </row>
    <row r="81" spans="1:25" ht="15.75" thickBot="1" x14ac:dyDescent="0.3">
      <c r="R81" s="219"/>
      <c r="S81" s="141"/>
      <c r="T81" s="142"/>
    </row>
    <row r="82" spans="1:25" s="96" customFormat="1" ht="15.75" thickBot="1" x14ac:dyDescent="0.3">
      <c r="A82" s="173"/>
      <c r="E82" s="95"/>
      <c r="F82" s="95"/>
      <c r="G82" s="95"/>
      <c r="H82" s="95"/>
      <c r="I82" s="95"/>
      <c r="J82" s="143"/>
      <c r="K82" s="144"/>
      <c r="M82" s="145"/>
      <c r="N82" s="95"/>
      <c r="O82" s="146"/>
      <c r="P82" s="147"/>
      <c r="Q82" s="95"/>
      <c r="R82" s="214"/>
      <c r="T82" s="95"/>
      <c r="W82" s="95"/>
      <c r="X82" s="95"/>
      <c r="Y82" s="97"/>
    </row>
    <row r="83" spans="1:25" s="96" customFormat="1" x14ac:dyDescent="0.25">
      <c r="A83" s="173"/>
      <c r="E83" s="95"/>
      <c r="F83" s="95"/>
      <c r="G83" s="95"/>
      <c r="H83" s="95"/>
      <c r="I83" s="95"/>
      <c r="J83" s="148"/>
      <c r="K83" s="95"/>
      <c r="L83" s="146"/>
      <c r="M83" s="146"/>
      <c r="N83" s="95"/>
      <c r="O83" s="95"/>
      <c r="P83" s="147"/>
      <c r="Q83" s="147"/>
      <c r="R83" s="214"/>
      <c r="T83" s="144"/>
      <c r="W83" s="95"/>
      <c r="X83" s="95"/>
      <c r="Y83" s="97"/>
    </row>
    <row r="84" spans="1:25" s="96" customFormat="1" x14ac:dyDescent="0.25">
      <c r="A84" s="173"/>
      <c r="E84" s="95"/>
      <c r="F84" s="95"/>
      <c r="G84" s="95"/>
      <c r="H84" s="95"/>
      <c r="I84" s="146"/>
      <c r="J84" s="95"/>
      <c r="K84" s="95"/>
      <c r="L84" s="146"/>
      <c r="M84" s="95"/>
      <c r="N84" s="95"/>
      <c r="O84" s="95"/>
      <c r="P84" s="95"/>
      <c r="Q84" s="146"/>
      <c r="R84" s="214"/>
      <c r="T84" s="95"/>
      <c r="W84" s="95"/>
      <c r="X84" s="95"/>
      <c r="Y84" s="97"/>
    </row>
    <row r="85" spans="1:25" s="96" customFormat="1" x14ac:dyDescent="0.25">
      <c r="A85" s="173"/>
      <c r="E85" s="95"/>
      <c r="F85" s="95"/>
      <c r="G85" s="95"/>
      <c r="H85" s="95"/>
      <c r="J85" s="146"/>
      <c r="K85" s="146"/>
      <c r="L85" s="95"/>
      <c r="M85" s="146"/>
      <c r="N85" s="95"/>
      <c r="P85" s="95"/>
      <c r="Q85" s="95"/>
      <c r="R85" s="214"/>
      <c r="T85" s="95"/>
      <c r="W85" s="95"/>
      <c r="X85" s="95"/>
      <c r="Y85" s="97"/>
    </row>
    <row r="86" spans="1:25" s="96" customFormat="1" x14ac:dyDescent="0.25">
      <c r="A86" s="173"/>
      <c r="E86" s="95"/>
      <c r="F86" s="95"/>
      <c r="G86" s="95"/>
      <c r="H86" s="95"/>
      <c r="I86" s="95"/>
      <c r="J86" s="95"/>
      <c r="M86" s="95"/>
      <c r="N86" s="95"/>
      <c r="O86" s="95"/>
      <c r="P86" s="95"/>
      <c r="Q86" s="95"/>
      <c r="R86" s="220"/>
      <c r="T86" s="147"/>
      <c r="W86" s="95"/>
      <c r="X86" s="95"/>
      <c r="Y86" s="97"/>
    </row>
    <row r="87" spans="1:25" s="96" customFormat="1" x14ac:dyDescent="0.25">
      <c r="A87" s="173"/>
      <c r="E87" s="95"/>
      <c r="F87" s="95"/>
      <c r="G87" s="95"/>
      <c r="H87" s="95"/>
      <c r="I87" s="95"/>
      <c r="J87" s="95"/>
      <c r="K87" s="95"/>
      <c r="L87" s="146"/>
      <c r="M87" s="95"/>
      <c r="N87" s="95"/>
      <c r="O87" s="95"/>
      <c r="P87" s="95"/>
      <c r="Q87" s="95"/>
      <c r="R87" s="214"/>
      <c r="T87" s="95"/>
      <c r="W87" s="95"/>
      <c r="X87" s="95"/>
      <c r="Y87" s="97"/>
    </row>
    <row r="91" spans="1:25" s="96" customFormat="1" x14ac:dyDescent="0.25">
      <c r="A91" s="173"/>
      <c r="E91" s="95"/>
      <c r="F91" s="95"/>
      <c r="G91" s="95"/>
      <c r="H91" s="95"/>
      <c r="I91" s="95"/>
      <c r="J91" s="95"/>
      <c r="K91" s="95"/>
      <c r="L91" s="95"/>
      <c r="M91" s="95"/>
      <c r="N91" s="95"/>
      <c r="O91" s="95"/>
      <c r="P91" s="95"/>
      <c r="Q91" s="95"/>
      <c r="R91" s="214"/>
      <c r="T91" s="149"/>
      <c r="W91" s="95"/>
      <c r="X91" s="95"/>
      <c r="Y91" s="97"/>
    </row>
    <row r="92" spans="1:25" s="96" customFormat="1" x14ac:dyDescent="0.25">
      <c r="A92" s="173"/>
      <c r="E92" s="95"/>
      <c r="F92" s="95"/>
      <c r="G92" s="95"/>
      <c r="H92" s="95"/>
      <c r="I92" s="95"/>
      <c r="J92" s="95"/>
      <c r="K92" s="95"/>
      <c r="L92" s="95"/>
      <c r="M92" s="95"/>
      <c r="N92" s="95"/>
      <c r="O92" s="95"/>
      <c r="P92" s="95"/>
      <c r="Q92" s="95"/>
      <c r="R92" s="214"/>
      <c r="T92" s="149"/>
      <c r="W92" s="95"/>
      <c r="X92" s="95"/>
      <c r="Y92" s="97"/>
    </row>
    <row r="93" spans="1:25" s="96" customFormat="1" x14ac:dyDescent="0.25">
      <c r="A93" s="173"/>
      <c r="E93" s="95"/>
      <c r="F93" s="95"/>
      <c r="G93" s="95"/>
      <c r="H93" s="95"/>
      <c r="I93" s="95"/>
      <c r="J93" s="95"/>
      <c r="K93" s="95"/>
      <c r="L93" s="95"/>
      <c r="M93" s="95"/>
      <c r="N93" s="95"/>
      <c r="O93" s="95"/>
      <c r="P93" s="95"/>
      <c r="Q93" s="95"/>
      <c r="R93" s="214"/>
      <c r="T93" s="149"/>
      <c r="W93" s="95"/>
      <c r="X93" s="95"/>
      <c r="Y93" s="97"/>
    </row>
  </sheetData>
  <mergeCells count="17">
    <mergeCell ref="X61:X68"/>
    <mergeCell ref="Y61:Y68"/>
    <mergeCell ref="X69:X77"/>
    <mergeCell ref="Y69:Y77"/>
    <mergeCell ref="A78:D78"/>
    <mergeCell ref="A1:D1"/>
    <mergeCell ref="A3:Y3"/>
    <mergeCell ref="X7:X19"/>
    <mergeCell ref="Y7:Y19"/>
    <mergeCell ref="X20:X26"/>
    <mergeCell ref="Y20:Y26"/>
    <mergeCell ref="X27:X38"/>
    <mergeCell ref="Y27:Y38"/>
    <mergeCell ref="X39:X49"/>
    <mergeCell ref="Y39:Y49"/>
    <mergeCell ref="X50:X60"/>
    <mergeCell ref="Y50:Y60"/>
  </mergeCells>
  <pageMargins left="0.31496062992125984" right="0.31496062992125984" top="0.35433070866141736" bottom="0.15748031496062992" header="0.31496062992125984" footer="0.31496062992125984"/>
  <pageSetup paperSize="9" scale="61" orientation="landscape" verticalDpi="0" r:id="rId1"/>
  <rowBreaks count="1" manualBreakCount="1">
    <brk id="78" max="2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45"/>
  <sheetViews>
    <sheetView view="pageBreakPreview" topLeftCell="A26" zoomScale="115" zoomScaleNormal="100" zoomScaleSheetLayoutView="115" workbookViewId="0">
      <selection activeCell="B33" sqref="B33"/>
    </sheetView>
  </sheetViews>
  <sheetFormatPr defaultColWidth="9.140625" defaultRowHeight="12.75" x14ac:dyDescent="0.2"/>
  <cols>
    <col min="1" max="1" width="4.42578125" style="50" customWidth="1"/>
    <col min="2" max="2" width="25.7109375" style="50" customWidth="1"/>
    <col min="3" max="3" width="27.5703125" style="50" customWidth="1"/>
    <col min="4" max="4" width="8.7109375" style="50" customWidth="1"/>
    <col min="5" max="5" width="12.5703125" style="50" bestFit="1" customWidth="1"/>
    <col min="6" max="6" width="10" style="50" customWidth="1"/>
    <col min="7" max="7" width="13.5703125" style="50" customWidth="1"/>
    <col min="8" max="8" width="13.5703125" style="50" hidden="1" customWidth="1"/>
    <col min="9" max="9" width="15.7109375" style="50" bestFit="1" customWidth="1"/>
    <col min="10" max="10" width="17.28515625" style="50" customWidth="1"/>
    <col min="11" max="11" width="16.85546875" style="50" hidden="1" customWidth="1"/>
    <col min="12" max="12" width="15.5703125" style="50" hidden="1" customWidth="1"/>
    <col min="13" max="13" width="14" style="50" hidden="1" customWidth="1"/>
    <col min="14" max="14" width="25.85546875" style="50" hidden="1" customWidth="1"/>
    <col min="15" max="15" width="15.7109375" style="50" hidden="1" customWidth="1"/>
    <col min="16" max="16" width="18.85546875" style="50" hidden="1" customWidth="1"/>
    <col min="17" max="17" width="10.42578125" style="50" customWidth="1"/>
    <col min="18" max="18" width="14.5703125" style="50" customWidth="1"/>
    <col min="19" max="19" width="14.140625" style="51" customWidth="1"/>
    <col min="20" max="20" width="12.42578125" style="50" customWidth="1"/>
    <col min="21" max="16384" width="9.140625" style="50"/>
  </cols>
  <sheetData>
    <row r="1" spans="1:20" ht="25.5" customHeight="1" x14ac:dyDescent="0.2">
      <c r="A1" s="310" t="s">
        <v>177</v>
      </c>
      <c r="B1" s="310"/>
      <c r="C1" s="310"/>
      <c r="D1" s="310"/>
      <c r="E1" s="310"/>
    </row>
    <row r="3" spans="1:20" x14ac:dyDescent="0.2">
      <c r="A3" s="180" t="s">
        <v>158</v>
      </c>
      <c r="B3" s="180"/>
      <c r="C3" s="180"/>
      <c r="D3" s="180"/>
      <c r="E3" s="180"/>
      <c r="F3" s="180"/>
      <c r="G3" s="180"/>
      <c r="H3" s="180"/>
      <c r="I3" s="180"/>
      <c r="J3" s="180"/>
      <c r="K3" s="180"/>
      <c r="L3" s="180"/>
      <c r="M3" s="180"/>
      <c r="N3" s="180"/>
    </row>
    <row r="4" spans="1:20" x14ac:dyDescent="0.2">
      <c r="A4" s="236" t="s">
        <v>175</v>
      </c>
      <c r="B4" s="237"/>
      <c r="C4" s="237"/>
      <c r="D4" s="237"/>
      <c r="E4" s="237"/>
      <c r="F4" s="237"/>
      <c r="G4" s="237"/>
      <c r="H4" s="237"/>
      <c r="I4" s="237"/>
      <c r="J4" s="237"/>
    </row>
    <row r="5" spans="1:20" x14ac:dyDescent="0.2">
      <c r="N5" s="50" t="s">
        <v>14</v>
      </c>
      <c r="O5" s="311" t="s">
        <v>14</v>
      </c>
      <c r="P5" s="311"/>
      <c r="Q5" s="181"/>
      <c r="R5" s="181"/>
    </row>
    <row r="6" spans="1:20" s="66" customFormat="1" ht="20.25" customHeight="1" x14ac:dyDescent="0.2">
      <c r="A6" s="312" t="s">
        <v>6</v>
      </c>
      <c r="B6" s="313" t="s">
        <v>5</v>
      </c>
      <c r="C6" s="313"/>
      <c r="D6" s="312" t="s">
        <v>7</v>
      </c>
      <c r="E6" s="312"/>
      <c r="F6" s="312"/>
      <c r="G6" s="313" t="s">
        <v>159</v>
      </c>
      <c r="H6" s="313" t="s">
        <v>21</v>
      </c>
      <c r="I6" s="314" t="s">
        <v>22</v>
      </c>
      <c r="J6" s="235"/>
      <c r="K6" s="312" t="s">
        <v>19</v>
      </c>
      <c r="L6" s="312"/>
      <c r="M6" s="312"/>
      <c r="N6" s="316" t="s">
        <v>12</v>
      </c>
      <c r="O6" s="313" t="s">
        <v>72</v>
      </c>
      <c r="P6" s="313" t="s">
        <v>18</v>
      </c>
      <c r="Q6" s="182"/>
      <c r="R6" s="182"/>
      <c r="S6" s="183"/>
    </row>
    <row r="7" spans="1:20" s="55" customFormat="1" ht="38.25" x14ac:dyDescent="0.25">
      <c r="A7" s="312"/>
      <c r="B7" s="313"/>
      <c r="C7" s="313"/>
      <c r="D7" s="52" t="s">
        <v>2</v>
      </c>
      <c r="E7" s="52" t="s">
        <v>0</v>
      </c>
      <c r="F7" s="52" t="s">
        <v>1</v>
      </c>
      <c r="G7" s="313"/>
      <c r="H7" s="313"/>
      <c r="I7" s="315"/>
      <c r="J7" s="53"/>
      <c r="K7" s="52" t="s">
        <v>13</v>
      </c>
      <c r="L7" s="52" t="s">
        <v>3</v>
      </c>
      <c r="M7" s="52" t="s">
        <v>4</v>
      </c>
      <c r="N7" s="317"/>
      <c r="O7" s="313"/>
      <c r="P7" s="313"/>
      <c r="Q7" s="182"/>
      <c r="R7" s="184"/>
      <c r="S7" s="185"/>
    </row>
    <row r="8" spans="1:20" s="55" customFormat="1" x14ac:dyDescent="0.25">
      <c r="A8" s="54" t="s">
        <v>37</v>
      </c>
      <c r="B8" s="52" t="s">
        <v>138</v>
      </c>
      <c r="C8" s="52"/>
      <c r="D8" s="52"/>
      <c r="E8" s="52"/>
      <c r="F8" s="52"/>
      <c r="G8" s="52">
        <v>0.4</v>
      </c>
      <c r="H8" s="56">
        <f>5/7</f>
        <v>0.7142857142857143</v>
      </c>
      <c r="I8" s="53"/>
      <c r="J8" s="53"/>
      <c r="K8" s="52"/>
      <c r="L8" s="52"/>
      <c r="M8" s="52"/>
      <c r="N8" s="186"/>
      <c r="O8" s="52"/>
      <c r="P8" s="57"/>
      <c r="Q8" s="182"/>
      <c r="R8" s="184"/>
      <c r="S8" s="185"/>
    </row>
    <row r="9" spans="1:20" s="66" customFormat="1" ht="25.5" x14ac:dyDescent="0.2">
      <c r="A9" s="306">
        <v>1</v>
      </c>
      <c r="B9" s="49" t="s">
        <v>16</v>
      </c>
      <c r="C9" s="49" t="s">
        <v>41</v>
      </c>
      <c r="D9" s="59">
        <f>SUM(D10:D11)</f>
        <v>1671.3000000000002</v>
      </c>
      <c r="E9" s="59">
        <f>SUM(E10:E11)</f>
        <v>1671.3000000000002</v>
      </c>
      <c r="F9" s="59">
        <f>SUM(F10:F11)</f>
        <v>0</v>
      </c>
      <c r="G9" s="60"/>
      <c r="H9" s="61"/>
      <c r="I9" s="62"/>
      <c r="J9" s="59">
        <f>SUM(J10:J11)</f>
        <v>82928040000</v>
      </c>
      <c r="K9" s="63">
        <f>SUM(L9:M9)</f>
        <v>59234314285.714279</v>
      </c>
      <c r="L9" s="63">
        <f>SUM(L10:L11)</f>
        <v>59234314285.714279</v>
      </c>
      <c r="M9" s="63">
        <f>SUM(M10:M11)</f>
        <v>0</v>
      </c>
      <c r="N9" s="307"/>
      <c r="O9" s="64">
        <v>1.2999999999999999E-2</v>
      </c>
      <c r="P9" s="65">
        <f>+K9*O9</f>
        <v>770046085.71428561</v>
      </c>
      <c r="Q9" s="85"/>
      <c r="R9" s="85"/>
      <c r="S9" s="183"/>
      <c r="T9" s="187"/>
    </row>
    <row r="10" spans="1:20" ht="21" customHeight="1" x14ac:dyDescent="0.2">
      <c r="A10" s="306"/>
      <c r="B10" s="67" t="s">
        <v>10</v>
      </c>
      <c r="C10" s="67"/>
      <c r="D10" s="62">
        <f>SUM(E10:F10)</f>
        <v>1196.9000000000001</v>
      </c>
      <c r="E10" s="62">
        <v>1196.9000000000001</v>
      </c>
      <c r="F10" s="62">
        <v>0</v>
      </c>
      <c r="G10" s="61">
        <v>51000000</v>
      </c>
      <c r="H10" s="61">
        <f>G10/7*5</f>
        <v>36428571.428571425</v>
      </c>
      <c r="I10" s="62">
        <v>1.2</v>
      </c>
      <c r="J10" s="62">
        <f>+G10*I10*E10</f>
        <v>73250280000</v>
      </c>
      <c r="K10" s="68">
        <f>SUM(L10:M10)</f>
        <v>52321628571.428566</v>
      </c>
      <c r="L10" s="68">
        <f>E10*H10*I10</f>
        <v>52321628571.428566</v>
      </c>
      <c r="M10" s="68">
        <f>+F10*$G$10</f>
        <v>0</v>
      </c>
      <c r="N10" s="307"/>
      <c r="O10" s="64"/>
      <c r="P10" s="65"/>
      <c r="Q10" s="85"/>
      <c r="R10" s="85"/>
    </row>
    <row r="11" spans="1:20" ht="21" customHeight="1" x14ac:dyDescent="0.2">
      <c r="A11" s="306"/>
      <c r="B11" s="67" t="s">
        <v>11</v>
      </c>
      <c r="C11" s="67"/>
      <c r="D11" s="62">
        <f>SUM(E11:F11)</f>
        <v>474.4</v>
      </c>
      <c r="E11" s="62">
        <v>474.4</v>
      </c>
      <c r="F11" s="62">
        <v>0</v>
      </c>
      <c r="G11" s="68">
        <f>+G10*0.4</f>
        <v>20400000</v>
      </c>
      <c r="H11" s="61">
        <f>G11/7*5</f>
        <v>14571428.571428571</v>
      </c>
      <c r="I11" s="62">
        <v>1</v>
      </c>
      <c r="J11" s="62">
        <f>+G11*I11*E11</f>
        <v>9677760000</v>
      </c>
      <c r="K11" s="70">
        <f>SUM(L11:M11)</f>
        <v>6912685714.2857141</v>
      </c>
      <c r="L11" s="68">
        <f>E11*H11*I11</f>
        <v>6912685714.2857141</v>
      </c>
      <c r="M11" s="68">
        <f>+F11*G11*0.7</f>
        <v>0</v>
      </c>
      <c r="N11" s="308"/>
      <c r="O11" s="64"/>
      <c r="P11" s="65"/>
      <c r="Q11" s="85"/>
      <c r="R11" s="85"/>
    </row>
    <row r="12" spans="1:20" s="66" customFormat="1" ht="25.5" x14ac:dyDescent="0.2">
      <c r="A12" s="306">
        <v>2</v>
      </c>
      <c r="B12" s="49" t="s">
        <v>17</v>
      </c>
      <c r="C12" s="49" t="s">
        <v>42</v>
      </c>
      <c r="D12" s="59">
        <f>SUM(D13:D13)</f>
        <v>596.79999999999995</v>
      </c>
      <c r="E12" s="59">
        <f>SUM(E13:E13)</f>
        <v>420.5</v>
      </c>
      <c r="F12" s="59">
        <f>SUM(F13:F13)</f>
        <v>176.3</v>
      </c>
      <c r="G12" s="60"/>
      <c r="H12" s="61"/>
      <c r="I12" s="62"/>
      <c r="J12" s="59">
        <f>+J13</f>
        <v>21756400000</v>
      </c>
      <c r="K12" s="63">
        <f>SUM(L12:M12)</f>
        <v>18648342857.14286</v>
      </c>
      <c r="L12" s="63">
        <f>SUM(L13:L13)</f>
        <v>14417142857.142859</v>
      </c>
      <c r="M12" s="63">
        <f>SUM(M13:M13)</f>
        <v>4231200000.000001</v>
      </c>
      <c r="N12" s="309" t="s">
        <v>15</v>
      </c>
      <c r="O12" s="71">
        <v>1.2999999999999999E-2</v>
      </c>
      <c r="P12" s="58">
        <f>+K12*O12</f>
        <v>242428457.14285716</v>
      </c>
      <c r="Q12" s="188"/>
      <c r="R12" s="188"/>
      <c r="S12" s="51"/>
    </row>
    <row r="13" spans="1:20" ht="21" customHeight="1" x14ac:dyDescent="0.2">
      <c r="A13" s="306"/>
      <c r="B13" s="67" t="s">
        <v>10</v>
      </c>
      <c r="C13" s="67"/>
      <c r="D13" s="62">
        <f t="shared" ref="D13:D28" si="0">SUM(E13:F13)</f>
        <v>596.79999999999995</v>
      </c>
      <c r="E13" s="62">
        <v>420.5</v>
      </c>
      <c r="F13" s="62">
        <v>176.3</v>
      </c>
      <c r="G13" s="68">
        <v>40000000</v>
      </c>
      <c r="H13" s="61">
        <f>G13/7*5</f>
        <v>28571428.571428575</v>
      </c>
      <c r="I13" s="62">
        <v>1.2</v>
      </c>
      <c r="J13" s="62">
        <f>+E13*G13+F13*G13*0.7</f>
        <v>21756400000</v>
      </c>
      <c r="K13" s="68">
        <f>SUM(L13:M13)</f>
        <v>18648342857.14286</v>
      </c>
      <c r="L13" s="68">
        <f>E13*H13*I13</f>
        <v>14417142857.142859</v>
      </c>
      <c r="M13" s="68">
        <f>F13*H13*0.7*1.2</f>
        <v>4231200000.000001</v>
      </c>
      <c r="N13" s="307"/>
      <c r="O13" s="64"/>
      <c r="P13" s="69"/>
      <c r="Q13" s="189"/>
      <c r="R13" s="189">
        <f>+D12*G13</f>
        <v>23872000000</v>
      </c>
    </row>
    <row r="14" spans="1:20" s="66" customFormat="1" ht="43.5" customHeight="1" x14ac:dyDescent="0.2">
      <c r="A14" s="306">
        <v>3</v>
      </c>
      <c r="B14" s="72" t="s">
        <v>62</v>
      </c>
      <c r="C14" s="73" t="s">
        <v>63</v>
      </c>
      <c r="D14" s="59">
        <f>SUM(D15:D16)</f>
        <v>2421.6</v>
      </c>
      <c r="E14" s="59">
        <f>SUM(E15:E16)</f>
        <v>2421.6</v>
      </c>
      <c r="F14" s="59">
        <f>SUM(F15:F16)</f>
        <v>0</v>
      </c>
      <c r="G14" s="60"/>
      <c r="H14" s="61"/>
      <c r="I14" s="62"/>
      <c r="J14" s="59">
        <f>SUM(J15:J16)</f>
        <v>81676800000</v>
      </c>
      <c r="K14" s="63">
        <f>SUM(K15:K16)</f>
        <v>58340571428.571419</v>
      </c>
      <c r="L14" s="63">
        <f>SUM(L15:L16)</f>
        <v>58340571428.571419</v>
      </c>
      <c r="M14" s="63">
        <f>SUM(M15:M16)</f>
        <v>0</v>
      </c>
      <c r="N14" s="84"/>
      <c r="O14" s="64">
        <v>1.2999999999999999E-2</v>
      </c>
      <c r="P14" s="65">
        <f>+K14*O14</f>
        <v>758427428.57142842</v>
      </c>
      <c r="Q14" s="85"/>
      <c r="R14" s="85"/>
      <c r="S14" s="51"/>
    </row>
    <row r="15" spans="1:20" ht="21" customHeight="1" thickBot="1" x14ac:dyDescent="0.25">
      <c r="A15" s="306"/>
      <c r="B15" s="67" t="s">
        <v>10</v>
      </c>
      <c r="C15" s="67"/>
      <c r="D15" s="62">
        <f t="shared" si="0"/>
        <v>1221.5999999999999</v>
      </c>
      <c r="E15" s="62">
        <v>1221.5999999999999</v>
      </c>
      <c r="F15" s="62"/>
      <c r="G15" s="61">
        <v>48000000</v>
      </c>
      <c r="H15" s="61">
        <f>+G15/7*5</f>
        <v>34285714.285714284</v>
      </c>
      <c r="I15" s="62">
        <v>1</v>
      </c>
      <c r="J15" s="62">
        <f>+G15*I15*E15</f>
        <v>58636799999.999992</v>
      </c>
      <c r="K15" s="68">
        <f>SUM(L15:M15)</f>
        <v>41883428571.428566</v>
      </c>
      <c r="L15" s="68">
        <f>E15*H15*I15</f>
        <v>41883428571.428566</v>
      </c>
      <c r="M15" s="68"/>
      <c r="N15" s="84"/>
      <c r="O15" s="64"/>
      <c r="P15" s="65"/>
      <c r="Q15" s="85"/>
      <c r="R15" s="190"/>
    </row>
    <row r="16" spans="1:20" ht="21" customHeight="1" thickBot="1" x14ac:dyDescent="0.25">
      <c r="A16" s="306"/>
      <c r="B16" s="67" t="s">
        <v>11</v>
      </c>
      <c r="C16" s="67"/>
      <c r="D16" s="62">
        <f t="shared" si="0"/>
        <v>1200</v>
      </c>
      <c r="E16" s="62">
        <v>1200</v>
      </c>
      <c r="F16" s="62"/>
      <c r="G16" s="61">
        <f>+G15*0.4</f>
        <v>19200000</v>
      </c>
      <c r="H16" s="61">
        <f>+G16/7*5</f>
        <v>13714285.714285713</v>
      </c>
      <c r="I16" s="62">
        <v>1</v>
      </c>
      <c r="J16" s="62">
        <f>+G16*I16*E16</f>
        <v>23040000000</v>
      </c>
      <c r="K16" s="68">
        <f>SUM(L16:M16)</f>
        <v>16457142857.142855</v>
      </c>
      <c r="L16" s="68">
        <f>E16*H16*I16</f>
        <v>16457142857.142855</v>
      </c>
      <c r="M16" s="68"/>
      <c r="N16" s="84"/>
      <c r="O16" s="64"/>
      <c r="P16" s="65"/>
      <c r="Q16" s="85"/>
      <c r="R16" s="190"/>
    </row>
    <row r="17" spans="1:19" s="66" customFormat="1" ht="30.75" thickBot="1" x14ac:dyDescent="0.25">
      <c r="A17" s="306">
        <v>4</v>
      </c>
      <c r="B17" s="49" t="s">
        <v>64</v>
      </c>
      <c r="C17" s="73" t="s">
        <v>65</v>
      </c>
      <c r="D17" s="59">
        <f>SUM(D18:D20)</f>
        <v>3206.6</v>
      </c>
      <c r="E17" s="59"/>
      <c r="F17" s="59">
        <f>SUM(F18:F20)</f>
        <v>0</v>
      </c>
      <c r="G17" s="60"/>
      <c r="H17" s="61"/>
      <c r="I17" s="62"/>
      <c r="J17" s="59">
        <f>SUM(J18:J20)</f>
        <v>127455120000</v>
      </c>
      <c r="K17" s="63">
        <f>SUM(K18:K20)</f>
        <v>91039371428.571426</v>
      </c>
      <c r="L17" s="63">
        <f>SUM(L18:L20)</f>
        <v>91039371428.571426</v>
      </c>
      <c r="M17" s="63">
        <f>SUM(M18:M20)</f>
        <v>0</v>
      </c>
      <c r="N17" s="84"/>
      <c r="O17" s="64">
        <v>1.2999999999999999E-2</v>
      </c>
      <c r="P17" s="65">
        <f>+K17*O17</f>
        <v>1183511828.5714285</v>
      </c>
      <c r="Q17" s="85"/>
      <c r="R17" s="190"/>
      <c r="S17" s="51"/>
    </row>
    <row r="18" spans="1:19" ht="21" customHeight="1" x14ac:dyDescent="0.2">
      <c r="A18" s="306"/>
      <c r="B18" s="67" t="s">
        <v>10</v>
      </c>
      <c r="C18" s="67"/>
      <c r="D18" s="62">
        <f t="shared" si="0"/>
        <v>1537.9</v>
      </c>
      <c r="E18" s="238">
        <v>1537.9</v>
      </c>
      <c r="F18" s="62"/>
      <c r="G18" s="61">
        <v>51000000</v>
      </c>
      <c r="H18" s="61">
        <f>+G18*$H$8</f>
        <v>36428571.428571433</v>
      </c>
      <c r="I18" s="62">
        <v>1.2</v>
      </c>
      <c r="J18" s="62">
        <f>+G18*I18*E18</f>
        <v>94119480000</v>
      </c>
      <c r="K18" s="68">
        <f>SUM(L18:M18)</f>
        <v>67228200000.000008</v>
      </c>
      <c r="L18" s="68">
        <f>E18*H18*I18</f>
        <v>67228200000.000008</v>
      </c>
      <c r="M18" s="68"/>
      <c r="N18" s="84"/>
      <c r="O18" s="64"/>
      <c r="P18" s="65"/>
      <c r="Q18" s="85"/>
      <c r="R18" s="85"/>
    </row>
    <row r="19" spans="1:19" ht="21" customHeight="1" x14ac:dyDescent="0.2">
      <c r="A19" s="306"/>
      <c r="B19" s="67" t="s">
        <v>11</v>
      </c>
      <c r="C19" s="67"/>
      <c r="D19" s="62">
        <f t="shared" si="0"/>
        <v>1530.3</v>
      </c>
      <c r="E19" s="239">
        <v>1530.3</v>
      </c>
      <c r="F19" s="62"/>
      <c r="G19" s="61">
        <f>+G18*0.4</f>
        <v>20400000</v>
      </c>
      <c r="H19" s="61">
        <f>+G19*$H$8</f>
        <v>14571428.571428571</v>
      </c>
      <c r="I19" s="62">
        <v>1</v>
      </c>
      <c r="J19" s="62">
        <f>+G19*I19*E19</f>
        <v>31218120000</v>
      </c>
      <c r="K19" s="68">
        <f>SUM(L19:M19)</f>
        <v>22298657142.85714</v>
      </c>
      <c r="L19" s="68">
        <f>E19*H19*I19</f>
        <v>22298657142.85714</v>
      </c>
      <c r="M19" s="68"/>
      <c r="N19" s="84"/>
      <c r="O19" s="64"/>
      <c r="P19" s="65"/>
      <c r="Q19" s="85"/>
      <c r="R19" s="85"/>
    </row>
    <row r="20" spans="1:19" ht="21" customHeight="1" x14ac:dyDescent="0.2">
      <c r="A20" s="306"/>
      <c r="B20" s="67" t="s">
        <v>160</v>
      </c>
      <c r="C20" s="67"/>
      <c r="D20" s="62">
        <f t="shared" si="0"/>
        <v>138.4</v>
      </c>
      <c r="E20" s="62">
        <v>138.4</v>
      </c>
      <c r="F20" s="62"/>
      <c r="G20" s="61">
        <f>+G18*0.3</f>
        <v>15300000</v>
      </c>
      <c r="H20" s="61">
        <f>+G20*$H$8</f>
        <v>10928571.428571429</v>
      </c>
      <c r="I20" s="62">
        <v>1</v>
      </c>
      <c r="J20" s="62">
        <f>+G20*I20*E20</f>
        <v>2117520000</v>
      </c>
      <c r="K20" s="68">
        <f>SUM(L20:M20)</f>
        <v>1512514285.7142859</v>
      </c>
      <c r="L20" s="68">
        <f>E20*H20*I20</f>
        <v>1512514285.7142859</v>
      </c>
      <c r="M20" s="68"/>
      <c r="N20" s="84"/>
      <c r="O20" s="64"/>
      <c r="P20" s="65"/>
      <c r="Q20" s="85"/>
      <c r="R20" s="85"/>
    </row>
    <row r="21" spans="1:19" s="66" customFormat="1" ht="38.25" x14ac:dyDescent="0.2">
      <c r="A21" s="306">
        <v>5</v>
      </c>
      <c r="B21" s="49" t="s">
        <v>66</v>
      </c>
      <c r="C21" s="73" t="s">
        <v>67</v>
      </c>
      <c r="D21" s="59">
        <f>SUM(D22:D23)</f>
        <v>2792.5</v>
      </c>
      <c r="E21" s="59">
        <f>SUM(E22:E23)</f>
        <v>2792.5</v>
      </c>
      <c r="F21" s="59">
        <f>SUM(F22:F23)</f>
        <v>0</v>
      </c>
      <c r="G21" s="60"/>
      <c r="H21" s="61"/>
      <c r="I21" s="62"/>
      <c r="J21" s="59">
        <f>SUM(J22:J23)</f>
        <v>3812208400</v>
      </c>
      <c r="K21" s="63">
        <f>SUM(K22:K23)</f>
        <v>2723006000</v>
      </c>
      <c r="L21" s="63">
        <f>SUM(L22:L23)</f>
        <v>2723006000</v>
      </c>
      <c r="M21" s="63">
        <f>SUM(M22:M23)</f>
        <v>0</v>
      </c>
      <c r="N21" s="84"/>
      <c r="O21" s="64">
        <v>0.01</v>
      </c>
      <c r="P21" s="65">
        <f>+K21*O21</f>
        <v>27230060</v>
      </c>
      <c r="Q21" s="85"/>
      <c r="R21" s="85"/>
      <c r="S21" s="51"/>
    </row>
    <row r="22" spans="1:19" ht="21" customHeight="1" x14ac:dyDescent="0.2">
      <c r="A22" s="306"/>
      <c r="B22" s="67" t="s">
        <v>10</v>
      </c>
      <c r="C22" s="67"/>
      <c r="D22" s="62">
        <f t="shared" si="0"/>
        <v>2264.1</v>
      </c>
      <c r="E22" s="62">
        <v>2264.1</v>
      </c>
      <c r="F22" s="62"/>
      <c r="G22" s="61">
        <v>1540000</v>
      </c>
      <c r="H22" s="61">
        <f>+G22*$H$8</f>
        <v>1100000</v>
      </c>
      <c r="I22" s="62">
        <v>1</v>
      </c>
      <c r="J22" s="62">
        <f>+G22*I22*E22</f>
        <v>3486714000</v>
      </c>
      <c r="K22" s="68">
        <f>SUM(L22:M22)</f>
        <v>2490510000</v>
      </c>
      <c r="L22" s="68">
        <f>E22*H22*I22</f>
        <v>2490510000</v>
      </c>
      <c r="M22" s="68"/>
      <c r="N22" s="84"/>
      <c r="O22" s="64"/>
      <c r="P22" s="65"/>
      <c r="Q22" s="85"/>
      <c r="R22" s="85"/>
    </row>
    <row r="23" spans="1:19" ht="21" customHeight="1" x14ac:dyDescent="0.2">
      <c r="A23" s="306"/>
      <c r="B23" s="67" t="s">
        <v>11</v>
      </c>
      <c r="C23" s="67"/>
      <c r="D23" s="62">
        <f t="shared" si="0"/>
        <v>528.40000000000009</v>
      </c>
      <c r="E23" s="62">
        <v>528.40000000000009</v>
      </c>
      <c r="F23" s="62"/>
      <c r="G23" s="61">
        <f>+G22*0.4</f>
        <v>616000</v>
      </c>
      <c r="H23" s="61">
        <f>+G23*$H$8</f>
        <v>440000</v>
      </c>
      <c r="I23" s="62">
        <v>1</v>
      </c>
      <c r="J23" s="62">
        <f>+G23*I23*E23</f>
        <v>325494400.00000006</v>
      </c>
      <c r="K23" s="68">
        <f>SUM(L23:M23)</f>
        <v>232496000.00000003</v>
      </c>
      <c r="L23" s="68">
        <f>E23*H23*I23</f>
        <v>232496000.00000003</v>
      </c>
      <c r="M23" s="68"/>
      <c r="N23" s="84"/>
      <c r="O23" s="64"/>
      <c r="P23" s="65"/>
      <c r="Q23" s="85"/>
      <c r="R23" s="85"/>
    </row>
    <row r="24" spans="1:19" s="66" customFormat="1" ht="47.25" x14ac:dyDescent="0.2">
      <c r="A24" s="306">
        <v>6</v>
      </c>
      <c r="B24" s="48" t="s">
        <v>68</v>
      </c>
      <c r="C24" s="73" t="s">
        <v>69</v>
      </c>
      <c r="D24" s="59">
        <f>SUM(D25:D26)</f>
        <v>4796.7</v>
      </c>
      <c r="E24" s="59"/>
      <c r="F24" s="59">
        <f>SUM(F25:F26)</f>
        <v>0</v>
      </c>
      <c r="G24" s="60"/>
      <c r="H24" s="61"/>
      <c r="I24" s="62"/>
      <c r="J24" s="59">
        <f>SUM(J25:J26)</f>
        <v>39728620000</v>
      </c>
      <c r="K24" s="63">
        <f>SUM(K25:K26)</f>
        <v>28377585714.285713</v>
      </c>
      <c r="L24" s="63">
        <f>SUM(L25:L26)</f>
        <v>28377585714.285713</v>
      </c>
      <c r="M24" s="63">
        <f>SUM(M25:M26)</f>
        <v>0</v>
      </c>
      <c r="N24" s="84"/>
      <c r="O24" s="76">
        <v>7.4999999999999997E-3</v>
      </c>
      <c r="P24" s="65">
        <f>+K24*O24</f>
        <v>212831892.85714284</v>
      </c>
      <c r="Q24" s="85"/>
      <c r="R24" s="85"/>
      <c r="S24" s="51"/>
    </row>
    <row r="25" spans="1:19" ht="21" customHeight="1" x14ac:dyDescent="0.2">
      <c r="A25" s="306"/>
      <c r="B25" s="67" t="s">
        <v>10</v>
      </c>
      <c r="C25" s="67"/>
      <c r="D25" s="62">
        <f t="shared" si="0"/>
        <v>2829.1</v>
      </c>
      <c r="E25" s="62">
        <v>2829.1</v>
      </c>
      <c r="F25" s="62"/>
      <c r="G25" s="61">
        <v>9500000</v>
      </c>
      <c r="H25" s="61">
        <f>+G25*$H$8</f>
        <v>6785714.2857142854</v>
      </c>
      <c r="I25" s="62">
        <v>1.2</v>
      </c>
      <c r="J25" s="62">
        <f>+G25*I25*E25</f>
        <v>32251740000</v>
      </c>
      <c r="K25" s="68">
        <f>SUM(L25:M25)</f>
        <v>23036957142.85714</v>
      </c>
      <c r="L25" s="68">
        <f>E25*H25*I25</f>
        <v>23036957142.85714</v>
      </c>
      <c r="M25" s="68"/>
      <c r="N25" s="84"/>
      <c r="O25" s="64"/>
      <c r="P25" s="65"/>
      <c r="Q25" s="85"/>
      <c r="R25" s="85"/>
    </row>
    <row r="26" spans="1:19" ht="21" customHeight="1" x14ac:dyDescent="0.2">
      <c r="A26" s="306"/>
      <c r="B26" s="67" t="s">
        <v>11</v>
      </c>
      <c r="C26" s="67"/>
      <c r="D26" s="62">
        <f t="shared" si="0"/>
        <v>1967.6</v>
      </c>
      <c r="E26" s="62">
        <v>1967.6</v>
      </c>
      <c r="F26" s="62"/>
      <c r="G26" s="61">
        <f>+G25*0.4</f>
        <v>3800000</v>
      </c>
      <c r="H26" s="61">
        <f>+G26*$H$8</f>
        <v>2714285.7142857146</v>
      </c>
      <c r="I26" s="62">
        <v>1</v>
      </c>
      <c r="J26" s="62">
        <f>+G26*I26*E26</f>
        <v>7476880000</v>
      </c>
      <c r="K26" s="68">
        <f>SUM(L26:M26)</f>
        <v>5340628571.4285717</v>
      </c>
      <c r="L26" s="68">
        <f>E26*H26*I26</f>
        <v>5340628571.4285717</v>
      </c>
      <c r="M26" s="68"/>
      <c r="N26" s="84"/>
      <c r="O26" s="64"/>
      <c r="P26" s="65"/>
      <c r="Q26" s="85"/>
      <c r="R26" s="85"/>
    </row>
    <row r="27" spans="1:19" s="66" customFormat="1" ht="32.25" customHeight="1" x14ac:dyDescent="0.2">
      <c r="A27" s="306">
        <v>7</v>
      </c>
      <c r="B27" s="77" t="s">
        <v>70</v>
      </c>
      <c r="C27" s="73" t="s">
        <v>71</v>
      </c>
      <c r="D27" s="59">
        <f>SUM(D28:D29)</f>
        <v>5785.3</v>
      </c>
      <c r="E27" s="59"/>
      <c r="F27" s="59">
        <f>SUM(F28:F29)</f>
        <v>0</v>
      </c>
      <c r="G27" s="60"/>
      <c r="H27" s="61"/>
      <c r="I27" s="62"/>
      <c r="J27" s="59">
        <f>SUM(J28:J29)</f>
        <v>19359620000</v>
      </c>
      <c r="K27" s="63">
        <f>SUM(K28:K29)</f>
        <v>13828300000</v>
      </c>
      <c r="L27" s="63">
        <f>SUM(L28:L29)</f>
        <v>13828300000</v>
      </c>
      <c r="M27" s="63">
        <f>SUM(M28:M29)</f>
        <v>0</v>
      </c>
      <c r="N27" s="84"/>
      <c r="O27" s="76">
        <v>7.4999999999999997E-3</v>
      </c>
      <c r="P27" s="65">
        <f>+K27*O27</f>
        <v>103712250</v>
      </c>
      <c r="Q27" s="85"/>
      <c r="R27" s="85"/>
      <c r="S27" s="51"/>
    </row>
    <row r="28" spans="1:19" ht="21" customHeight="1" x14ac:dyDescent="0.2">
      <c r="A28" s="306"/>
      <c r="B28" s="67" t="s">
        <v>10</v>
      </c>
      <c r="C28" s="67"/>
      <c r="D28" s="62">
        <f t="shared" si="0"/>
        <v>5362</v>
      </c>
      <c r="E28" s="238">
        <v>5362</v>
      </c>
      <c r="F28" s="62"/>
      <c r="G28" s="61">
        <v>3500000</v>
      </c>
      <c r="H28" s="61">
        <f>+G28*$H$8</f>
        <v>2500000</v>
      </c>
      <c r="I28" s="62">
        <v>1</v>
      </c>
      <c r="J28" s="62">
        <f>+G28*I28*E28</f>
        <v>18767000000</v>
      </c>
      <c r="K28" s="68">
        <f>SUM(L28:M28)</f>
        <v>13405000000</v>
      </c>
      <c r="L28" s="68">
        <f>E28*H28*I28</f>
        <v>13405000000</v>
      </c>
      <c r="M28" s="68"/>
      <c r="N28" s="84"/>
      <c r="O28" s="64"/>
      <c r="P28" s="65"/>
      <c r="Q28" s="85"/>
      <c r="R28" s="85"/>
    </row>
    <row r="29" spans="1:19" ht="21" customHeight="1" x14ac:dyDescent="0.2">
      <c r="A29" s="306"/>
      <c r="B29" s="67" t="s">
        <v>11</v>
      </c>
      <c r="C29" s="67"/>
      <c r="D29" s="62">
        <f>+E29</f>
        <v>423.30000000000018</v>
      </c>
      <c r="E29" s="78">
        <f>+'[1]Phụ lục 02 Tiền Đất'!E29</f>
        <v>423.30000000000018</v>
      </c>
      <c r="F29" s="62"/>
      <c r="G29" s="61">
        <f>+G28*0.4</f>
        <v>1400000</v>
      </c>
      <c r="H29" s="61">
        <f>+G29*$H$8</f>
        <v>1000000</v>
      </c>
      <c r="I29" s="62">
        <v>1</v>
      </c>
      <c r="J29" s="62">
        <f>+G29*I29*E29</f>
        <v>592620000.00000024</v>
      </c>
      <c r="K29" s="68">
        <f>SUM(L29:M29)</f>
        <v>423300000.00000018</v>
      </c>
      <c r="L29" s="68">
        <f>E29*H29*I29</f>
        <v>423300000.00000018</v>
      </c>
      <c r="M29" s="68"/>
      <c r="N29" s="84"/>
      <c r="O29" s="64"/>
      <c r="P29" s="65"/>
      <c r="Q29" s="85"/>
      <c r="R29" s="85"/>
    </row>
    <row r="30" spans="1:19" ht="21" customHeight="1" x14ac:dyDescent="0.2">
      <c r="A30" s="74"/>
      <c r="B30" s="79"/>
      <c r="C30" s="79"/>
      <c r="D30" s="80"/>
      <c r="E30" s="81"/>
      <c r="F30" s="80"/>
      <c r="G30" s="82"/>
      <c r="H30" s="82"/>
      <c r="I30" s="80"/>
      <c r="J30" s="80"/>
      <c r="K30" s="83"/>
      <c r="L30" s="83"/>
      <c r="M30" s="83"/>
      <c r="N30" s="84"/>
      <c r="O30" s="85"/>
      <c r="P30" s="85"/>
      <c r="Q30" s="85"/>
      <c r="R30" s="85"/>
    </row>
    <row r="32" spans="1:19" x14ac:dyDescent="0.2">
      <c r="A32" s="86" t="s">
        <v>9</v>
      </c>
    </row>
    <row r="33" spans="8:20" x14ac:dyDescent="0.2">
      <c r="R33" s="87"/>
      <c r="S33" s="87"/>
      <c r="T33" s="88"/>
    </row>
    <row r="34" spans="8:20" x14ac:dyDescent="0.2">
      <c r="I34" s="193"/>
      <c r="J34" s="193"/>
      <c r="K34" s="89"/>
      <c r="L34" s="51"/>
      <c r="M34" s="90"/>
      <c r="O34" s="91"/>
      <c r="P34" s="92"/>
      <c r="R34" s="91"/>
    </row>
    <row r="35" spans="8:20" x14ac:dyDescent="0.2">
      <c r="I35" s="93"/>
      <c r="J35" s="93"/>
      <c r="L35" s="91"/>
      <c r="M35" s="91"/>
      <c r="P35" s="92"/>
      <c r="Q35" s="92"/>
      <c r="R35" s="91"/>
      <c r="T35" s="89"/>
    </row>
    <row r="36" spans="8:20" x14ac:dyDescent="0.2">
      <c r="H36" s="91"/>
      <c r="L36" s="91"/>
      <c r="Q36" s="91"/>
    </row>
    <row r="37" spans="8:20" x14ac:dyDescent="0.2">
      <c r="H37" s="51"/>
      <c r="I37" s="91"/>
      <c r="J37" s="91"/>
      <c r="K37" s="91"/>
      <c r="M37" s="91"/>
      <c r="O37" s="51"/>
      <c r="R37" s="91"/>
    </row>
    <row r="38" spans="8:20" x14ac:dyDescent="0.2">
      <c r="K38" s="51"/>
      <c r="L38" s="51"/>
      <c r="R38" s="51"/>
      <c r="T38" s="92"/>
    </row>
    <row r="39" spans="8:20" x14ac:dyDescent="0.2">
      <c r="L39" s="91"/>
    </row>
    <row r="43" spans="8:20" x14ac:dyDescent="0.2">
      <c r="T43" s="94"/>
    </row>
    <row r="44" spans="8:20" x14ac:dyDescent="0.2">
      <c r="T44" s="94"/>
    </row>
    <row r="45" spans="8:20" x14ac:dyDescent="0.2">
      <c r="T45" s="94"/>
    </row>
  </sheetData>
  <mergeCells count="22">
    <mergeCell ref="A1:E1"/>
    <mergeCell ref="O5:P5"/>
    <mergeCell ref="A6:A7"/>
    <mergeCell ref="B6:B7"/>
    <mergeCell ref="C6:C7"/>
    <mergeCell ref="D6:F6"/>
    <mergeCell ref="G6:G7"/>
    <mergeCell ref="H6:H7"/>
    <mergeCell ref="I6:I7"/>
    <mergeCell ref="K6:M6"/>
    <mergeCell ref="N6:N7"/>
    <mergeCell ref="O6:O7"/>
    <mergeCell ref="P6:P7"/>
    <mergeCell ref="A27:A29"/>
    <mergeCell ref="N9:N11"/>
    <mergeCell ref="A14:A16"/>
    <mergeCell ref="A17:A20"/>
    <mergeCell ref="A21:A23"/>
    <mergeCell ref="A24:A26"/>
    <mergeCell ref="A12:A13"/>
    <mergeCell ref="N12:N13"/>
    <mergeCell ref="A9:A11"/>
  </mergeCells>
  <pageMargins left="0.7" right="0.7" top="0.75" bottom="0.75" header="0.3" footer="0.3"/>
  <pageSetup paperSize="9" scale="61"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3"/>
  <sheetViews>
    <sheetView view="pageBreakPreview" topLeftCell="A2" zoomScale="85" zoomScaleNormal="100" zoomScaleSheetLayoutView="85" workbookViewId="0">
      <selection activeCell="C14" sqref="C14"/>
    </sheetView>
  </sheetViews>
  <sheetFormatPr defaultColWidth="9.140625" defaultRowHeight="15" x14ac:dyDescent="0.25"/>
  <cols>
    <col min="1" max="1" width="5.42578125" style="39" bestFit="1" customWidth="1"/>
    <col min="2" max="2" width="29.85546875" style="39" hidden="1" customWidth="1"/>
    <col min="3" max="3" width="21" style="28" customWidth="1"/>
    <col min="4" max="4" width="18.7109375" style="28" customWidth="1"/>
    <col min="5" max="5" width="0" style="28" hidden="1" customWidth="1"/>
    <col min="6" max="6" width="9.140625" style="28"/>
    <col min="7" max="9" width="11.28515625" style="28" bestFit="1" customWidth="1"/>
    <col min="10" max="10" width="17.5703125" style="28" customWidth="1"/>
    <col min="11" max="11" width="18.140625" style="28" customWidth="1"/>
    <col min="12" max="12" width="18" style="28" customWidth="1"/>
    <col min="13" max="13" width="14.5703125" style="28" customWidth="1"/>
    <col min="14" max="14" width="17.5703125" style="28" customWidth="1"/>
    <col min="15" max="15" width="14.140625" style="28" bestFit="1" customWidth="1"/>
    <col min="16" max="17" width="16.85546875" style="28" bestFit="1" customWidth="1"/>
    <col min="18" max="16384" width="9.140625" style="28"/>
  </cols>
  <sheetData>
    <row r="2" spans="1:17" ht="15.75" x14ac:dyDescent="0.25">
      <c r="A2" s="324" t="s">
        <v>8</v>
      </c>
      <c r="B2" s="324"/>
      <c r="C2" s="324"/>
      <c r="D2" s="324"/>
      <c r="E2" s="324"/>
    </row>
    <row r="4" spans="1:17" s="41" customFormat="1" ht="14.25" x14ac:dyDescent="0.2">
      <c r="A4" s="325" t="s">
        <v>120</v>
      </c>
      <c r="B4" s="325"/>
      <c r="C4" s="325"/>
      <c r="D4" s="325"/>
      <c r="E4" s="325"/>
      <c r="F4" s="325"/>
      <c r="G4" s="325"/>
      <c r="H4" s="325"/>
      <c r="I4" s="325"/>
      <c r="J4" s="325"/>
      <c r="K4" s="325"/>
      <c r="L4" s="325"/>
      <c r="M4" s="44"/>
    </row>
    <row r="6" spans="1:17" ht="19.5" customHeight="1" x14ac:dyDescent="0.25">
      <c r="A6" s="326" t="s">
        <v>45</v>
      </c>
      <c r="B6" s="27"/>
      <c r="C6" s="326" t="s">
        <v>46</v>
      </c>
      <c r="D6" s="326" t="s">
        <v>47</v>
      </c>
      <c r="E6" s="326" t="s">
        <v>48</v>
      </c>
      <c r="F6" s="326" t="s">
        <v>31</v>
      </c>
      <c r="G6" s="326" t="s">
        <v>49</v>
      </c>
      <c r="H6" s="326"/>
      <c r="I6" s="326"/>
      <c r="J6" s="319" t="s">
        <v>137</v>
      </c>
      <c r="K6" s="320"/>
      <c r="L6" s="321"/>
      <c r="M6" s="322" t="s">
        <v>129</v>
      </c>
      <c r="N6" s="322"/>
      <c r="O6" s="318"/>
    </row>
    <row r="7" spans="1:17" ht="58.5" customHeight="1" x14ac:dyDescent="0.25">
      <c r="A7" s="326"/>
      <c r="B7" s="27"/>
      <c r="C7" s="326"/>
      <c r="D7" s="326"/>
      <c r="E7" s="326"/>
      <c r="F7" s="326"/>
      <c r="G7" s="27" t="s">
        <v>50</v>
      </c>
      <c r="H7" s="27" t="s">
        <v>51</v>
      </c>
      <c r="I7" s="27" t="s">
        <v>52</v>
      </c>
      <c r="J7" s="27" t="s">
        <v>126</v>
      </c>
      <c r="K7" s="27" t="s">
        <v>18</v>
      </c>
      <c r="L7" s="27" t="s">
        <v>125</v>
      </c>
      <c r="M7" s="27" t="s">
        <v>128</v>
      </c>
      <c r="N7" s="166" t="s">
        <v>127</v>
      </c>
      <c r="O7" s="318"/>
    </row>
    <row r="8" spans="1:17" ht="29.25" customHeight="1" x14ac:dyDescent="0.25">
      <c r="A8" s="319" t="s">
        <v>53</v>
      </c>
      <c r="B8" s="320"/>
      <c r="C8" s="320"/>
      <c r="D8" s="321"/>
      <c r="E8" s="27"/>
      <c r="F8" s="27"/>
      <c r="G8" s="29">
        <f>+G9+G12</f>
        <v>25646</v>
      </c>
      <c r="H8" s="29">
        <f t="shared" ref="H8:N8" si="0">+H9+H12</f>
        <v>18193.112637362639</v>
      </c>
      <c r="I8" s="29">
        <f t="shared" si="0"/>
        <v>16079.65</v>
      </c>
      <c r="J8" s="29" t="e">
        <f t="shared" si="0"/>
        <v>#DIV/0!</v>
      </c>
      <c r="K8" s="29">
        <f t="shared" si="0"/>
        <v>2272472877.6857142</v>
      </c>
      <c r="L8" s="29" t="e">
        <f t="shared" si="0"/>
        <v>#DIV/0!</v>
      </c>
      <c r="M8" s="29">
        <f t="shared" si="0"/>
        <v>0</v>
      </c>
      <c r="N8" s="29" t="e">
        <f t="shared" si="0"/>
        <v>#DIV/0!</v>
      </c>
      <c r="P8" s="201">
        <f>+I12-I9</f>
        <v>11356.449999999999</v>
      </c>
    </row>
    <row r="9" spans="1:17" ht="29.25" customHeight="1" x14ac:dyDescent="0.25">
      <c r="A9" s="45" t="s">
        <v>121</v>
      </c>
      <c r="B9" s="46"/>
      <c r="C9" s="46" t="s">
        <v>122</v>
      </c>
      <c r="D9" s="47"/>
      <c r="E9" s="47"/>
      <c r="F9" s="27"/>
      <c r="G9" s="29">
        <f>SUM(G10:G11)</f>
        <v>2180.5</v>
      </c>
      <c r="H9" s="29">
        <f t="shared" ref="H9:N9" si="1">SUM(H10:H11)</f>
        <v>2716.9</v>
      </c>
      <c r="I9" s="29">
        <f t="shared" si="1"/>
        <v>2361.6</v>
      </c>
      <c r="J9" s="29">
        <f t="shared" si="1"/>
        <v>1156027574</v>
      </c>
      <c r="K9" s="29">
        <f t="shared" si="1"/>
        <v>567729942</v>
      </c>
      <c r="L9" s="29">
        <f t="shared" si="1"/>
        <v>588297632</v>
      </c>
      <c r="M9" s="29"/>
      <c r="N9" s="29">
        <f t="shared" si="1"/>
        <v>512925423</v>
      </c>
    </row>
    <row r="10" spans="1:17" s="37" customFormat="1" ht="69.75" customHeight="1" x14ac:dyDescent="0.25">
      <c r="A10" s="30">
        <v>1</v>
      </c>
      <c r="B10" s="31" t="s">
        <v>54</v>
      </c>
      <c r="C10" s="30" t="str">
        <f>VLOOKUP(B10,[2]TH!$B$2:$L$14,2,0)</f>
        <v>Số 66, đường Phan Đình Phùng, phường Thành Sen, tỉnh Hà Tĩnh</v>
      </c>
      <c r="D10" s="32" t="s">
        <v>39</v>
      </c>
      <c r="E10" s="33"/>
      <c r="F10" s="34">
        <v>2006</v>
      </c>
      <c r="G10" s="35">
        <v>633.79999999999995</v>
      </c>
      <c r="H10" s="35">
        <v>873.9</v>
      </c>
      <c r="I10" s="35">
        <v>747.4</v>
      </c>
      <c r="J10" s="36">
        <f>+K10+L10</f>
        <v>374967206</v>
      </c>
      <c r="K10" s="177">
        <v>222463799.99999997</v>
      </c>
      <c r="L10" s="177">
        <v>152503406</v>
      </c>
      <c r="M10" s="35">
        <v>6</v>
      </c>
      <c r="N10" s="179">
        <f>+J10/12*M10</f>
        <v>187483603</v>
      </c>
      <c r="O10" s="38"/>
    </row>
    <row r="11" spans="1:17" s="37" customFormat="1" ht="69.75" customHeight="1" x14ac:dyDescent="0.25">
      <c r="A11" s="30">
        <v>2</v>
      </c>
      <c r="B11" s="31" t="s">
        <v>55</v>
      </c>
      <c r="C11" s="30" t="str">
        <f>VLOOKUP(B11,[2]TH!$B$2:$L$14,2,0)</f>
        <v>Số 02, đường Trần Phú, phường Thành Sen, tỉnh Hà Tĩnh</v>
      </c>
      <c r="D11" s="32" t="s">
        <v>40</v>
      </c>
      <c r="E11" s="33"/>
      <c r="F11" s="34">
        <v>2008</v>
      </c>
      <c r="G11" s="42">
        <v>1546.7</v>
      </c>
      <c r="H11" s="42">
        <v>1843</v>
      </c>
      <c r="I11" s="42">
        <v>1614.2</v>
      </c>
      <c r="J11" s="36">
        <f>+K11+L11</f>
        <v>781060368</v>
      </c>
      <c r="K11" s="178">
        <v>345266142.00000006</v>
      </c>
      <c r="L11" s="178">
        <v>435794226</v>
      </c>
      <c r="M11" s="35">
        <v>5</v>
      </c>
      <c r="N11" s="179">
        <f t="shared" ref="N11:N19" si="2">+J11/12*M11</f>
        <v>325441820</v>
      </c>
      <c r="O11" s="38"/>
    </row>
    <row r="12" spans="1:17" s="164" customFormat="1" ht="16.5" x14ac:dyDescent="0.25">
      <c r="A12" s="158" t="s">
        <v>123</v>
      </c>
      <c r="B12" s="159"/>
      <c r="C12" s="158" t="s">
        <v>124</v>
      </c>
      <c r="D12" s="160"/>
      <c r="E12" s="161"/>
      <c r="F12" s="162"/>
      <c r="G12" s="163">
        <f>SUM(G13:G19)</f>
        <v>23465.5</v>
      </c>
      <c r="H12" s="163">
        <f t="shared" ref="H12:Q12" si="3">SUM(H13:H19)</f>
        <v>15476.212637362638</v>
      </c>
      <c r="I12" s="163">
        <f t="shared" si="3"/>
        <v>13718.05</v>
      </c>
      <c r="J12" s="163" t="e">
        <f t="shared" si="3"/>
        <v>#DIV/0!</v>
      </c>
      <c r="K12" s="163">
        <f t="shared" si="3"/>
        <v>1704742935.6857142</v>
      </c>
      <c r="L12" s="163" t="e">
        <f t="shared" si="3"/>
        <v>#DIV/0!</v>
      </c>
      <c r="M12" s="163"/>
      <c r="N12" s="202" t="e">
        <f t="shared" si="3"/>
        <v>#DIV/0!</v>
      </c>
      <c r="O12" s="165"/>
      <c r="P12" s="202">
        <f t="shared" si="3"/>
        <v>696404695.67857146</v>
      </c>
      <c r="Q12" s="202" t="e">
        <f t="shared" si="3"/>
        <v>#DIV/0!</v>
      </c>
    </row>
    <row r="13" spans="1:17" s="37" customFormat="1" ht="69.75" customHeight="1" x14ac:dyDescent="0.25">
      <c r="A13" s="175">
        <v>1</v>
      </c>
      <c r="B13" s="176"/>
      <c r="C13" s="108" t="s">
        <v>144</v>
      </c>
      <c r="D13" s="108" t="s">
        <v>41</v>
      </c>
      <c r="E13" s="33"/>
      <c r="F13" s="34" t="s">
        <v>131</v>
      </c>
      <c r="G13" s="42">
        <v>1671.3000000000002</v>
      </c>
      <c r="H13" s="42">
        <v>2417.3626373626371</v>
      </c>
      <c r="I13" s="42">
        <v>2199.7999999999993</v>
      </c>
      <c r="J13" s="36">
        <f t="shared" ref="J13:J19" si="4">+K13+L13</f>
        <v>424884252</v>
      </c>
      <c r="K13" s="42">
        <f>+'Phụ lục 02 Tiền Đất'!O9</f>
        <v>424884252</v>
      </c>
      <c r="L13" s="22">
        <f>+'Phụ lục 03 Tiền TS nhà'!O9</f>
        <v>0</v>
      </c>
      <c r="M13" s="35">
        <v>5</v>
      </c>
      <c r="N13" s="179">
        <f t="shared" si="2"/>
        <v>177035105</v>
      </c>
      <c r="O13" s="38"/>
      <c r="P13" s="37">
        <f>+K13/12*M13</f>
        <v>177035105</v>
      </c>
      <c r="Q13" s="37">
        <f>+L13/12*M13</f>
        <v>0</v>
      </c>
    </row>
    <row r="14" spans="1:17" s="37" customFormat="1" ht="69.75" customHeight="1" x14ac:dyDescent="0.25">
      <c r="A14" s="175">
        <v>2</v>
      </c>
      <c r="B14" s="176"/>
      <c r="C14" s="108" t="s">
        <v>108</v>
      </c>
      <c r="D14" s="108" t="s">
        <v>42</v>
      </c>
      <c r="E14" s="33"/>
      <c r="F14" s="34">
        <v>2001</v>
      </c>
      <c r="G14" s="42">
        <v>596.79999999999995</v>
      </c>
      <c r="H14" s="42">
        <v>646</v>
      </c>
      <c r="I14" s="42">
        <v>598.05999999999995</v>
      </c>
      <c r="J14" s="36">
        <f t="shared" si="4"/>
        <v>111577697.39999999</v>
      </c>
      <c r="K14" s="42">
        <f>+'Phụ lục 02 Tiền Đất'!O12</f>
        <v>111577697.39999999</v>
      </c>
      <c r="L14" s="22">
        <f>+'Phụ lục 03 Tiền TS nhà'!O10</f>
        <v>0</v>
      </c>
      <c r="M14" s="35">
        <v>5</v>
      </c>
      <c r="N14" s="179">
        <f t="shared" si="2"/>
        <v>46490707.25</v>
      </c>
      <c r="O14" s="38"/>
      <c r="P14" s="37">
        <f t="shared" ref="P14:P19" si="5">+K14/12*M14</f>
        <v>46490707.25</v>
      </c>
      <c r="Q14" s="37">
        <f t="shared" ref="Q14:Q19" si="6">+L14/12*M14</f>
        <v>0</v>
      </c>
    </row>
    <row r="15" spans="1:17" s="37" customFormat="1" ht="69.75" customHeight="1" x14ac:dyDescent="0.25">
      <c r="A15" s="175">
        <v>3</v>
      </c>
      <c r="B15" s="176"/>
      <c r="C15" s="108" t="s">
        <v>62</v>
      </c>
      <c r="D15" s="73" t="s">
        <v>63</v>
      </c>
      <c r="E15" s="33"/>
      <c r="F15" s="34" t="s">
        <v>133</v>
      </c>
      <c r="G15" s="42">
        <v>2421.6</v>
      </c>
      <c r="H15" s="42">
        <v>2108</v>
      </c>
      <c r="I15" s="42">
        <v>1857.2</v>
      </c>
      <c r="J15" s="36" t="e">
        <f t="shared" si="4"/>
        <v>#DIV/0!</v>
      </c>
      <c r="K15" s="42">
        <f>+'Phụ lục 02 Tiền Đất'!O14</f>
        <v>348402600</v>
      </c>
      <c r="L15" s="22" t="e">
        <f>+'Phụ lục 03 Tiền TS nhà'!O11</f>
        <v>#DIV/0!</v>
      </c>
      <c r="M15" s="35">
        <v>5</v>
      </c>
      <c r="N15" s="179" t="e">
        <f t="shared" si="2"/>
        <v>#DIV/0!</v>
      </c>
      <c r="O15" s="38"/>
      <c r="P15" s="37">
        <f t="shared" si="5"/>
        <v>145167750</v>
      </c>
      <c r="Q15" s="37" t="e">
        <f t="shared" si="6"/>
        <v>#DIV/0!</v>
      </c>
    </row>
    <row r="16" spans="1:17" s="37" customFormat="1" ht="69.75" customHeight="1" x14ac:dyDescent="0.25">
      <c r="A16" s="175">
        <v>4</v>
      </c>
      <c r="B16" s="176"/>
      <c r="C16" s="108" t="s">
        <v>64</v>
      </c>
      <c r="D16" s="73" t="s">
        <v>65</v>
      </c>
      <c r="E16" s="33"/>
      <c r="F16" s="34" t="s">
        <v>132</v>
      </c>
      <c r="G16" s="42">
        <v>3206.6</v>
      </c>
      <c r="H16" s="42">
        <v>3635.3500000000004</v>
      </c>
      <c r="I16" s="42">
        <v>3290</v>
      </c>
      <c r="J16" s="36">
        <f t="shared" si="4"/>
        <v>653020056</v>
      </c>
      <c r="K16" s="42">
        <f>+'Phụ lục 02 Tiền Đất'!O17</f>
        <v>653020056</v>
      </c>
      <c r="L16" s="22">
        <f>+'Phụ lục 03 Tiền TS nhà'!O12</f>
        <v>0</v>
      </c>
      <c r="M16" s="35">
        <v>5</v>
      </c>
      <c r="N16" s="179">
        <f t="shared" si="2"/>
        <v>272091690</v>
      </c>
      <c r="O16" s="38"/>
      <c r="P16" s="37">
        <f t="shared" si="5"/>
        <v>272091690</v>
      </c>
      <c r="Q16" s="37">
        <f t="shared" si="6"/>
        <v>0</v>
      </c>
    </row>
    <row r="17" spans="1:17" s="37" customFormat="1" ht="69.75" customHeight="1" x14ac:dyDescent="0.25">
      <c r="A17" s="175">
        <v>5</v>
      </c>
      <c r="B17" s="176"/>
      <c r="C17" s="108" t="s">
        <v>66</v>
      </c>
      <c r="D17" s="73" t="s">
        <v>67</v>
      </c>
      <c r="E17" s="33"/>
      <c r="F17" s="34"/>
      <c r="G17" s="42">
        <v>2792.5</v>
      </c>
      <c r="H17" s="42">
        <v>1319.2</v>
      </c>
      <c r="I17" s="42">
        <v>1070.0799999999997</v>
      </c>
      <c r="J17" s="36">
        <f t="shared" si="4"/>
        <v>16338036</v>
      </c>
      <c r="K17" s="42">
        <f>+'Phụ lục 02 Tiền Đất'!O21</f>
        <v>16338036</v>
      </c>
      <c r="L17" s="22">
        <f>+'Phụ lục 03 Tiền TS nhà'!O13</f>
        <v>0</v>
      </c>
      <c r="M17" s="35">
        <v>4</v>
      </c>
      <c r="N17" s="179">
        <f t="shared" si="2"/>
        <v>5446012</v>
      </c>
      <c r="O17" s="38"/>
      <c r="P17" s="37">
        <f t="shared" si="5"/>
        <v>5446012</v>
      </c>
      <c r="Q17" s="37">
        <f t="shared" si="6"/>
        <v>0</v>
      </c>
    </row>
    <row r="18" spans="1:17" s="37" customFormat="1" ht="69.75" customHeight="1" x14ac:dyDescent="0.25">
      <c r="A18" s="175">
        <v>6</v>
      </c>
      <c r="B18" s="176"/>
      <c r="C18" s="108" t="s">
        <v>113</v>
      </c>
      <c r="D18" s="73" t="s">
        <v>69</v>
      </c>
      <c r="E18" s="33"/>
      <c r="F18" s="34" t="s">
        <v>132</v>
      </c>
      <c r="G18" s="42">
        <v>4796.7</v>
      </c>
      <c r="H18" s="42">
        <v>2823.2999999999997</v>
      </c>
      <c r="I18" s="42">
        <v>2472.7999999999997</v>
      </c>
      <c r="J18" s="36">
        <f t="shared" si="4"/>
        <v>88717294.285714269</v>
      </c>
      <c r="K18" s="42">
        <f>+'Phụ lục 02 Tiền Đất'!O24</f>
        <v>88717294.285714269</v>
      </c>
      <c r="L18" s="22">
        <f>+'Phụ lục 03 Tiền TS nhà'!O14</f>
        <v>0</v>
      </c>
      <c r="M18" s="35">
        <v>4</v>
      </c>
      <c r="N18" s="179">
        <f t="shared" si="2"/>
        <v>29572431.428571422</v>
      </c>
      <c r="O18" s="38"/>
      <c r="P18" s="37">
        <f t="shared" si="5"/>
        <v>29572431.428571422</v>
      </c>
      <c r="Q18" s="37">
        <f t="shared" si="6"/>
        <v>0</v>
      </c>
    </row>
    <row r="19" spans="1:17" s="37" customFormat="1" ht="69.75" customHeight="1" x14ac:dyDescent="0.25">
      <c r="A19" s="175">
        <v>7</v>
      </c>
      <c r="B19" s="176"/>
      <c r="C19" s="108" t="s">
        <v>114</v>
      </c>
      <c r="D19" s="73" t="s">
        <v>71</v>
      </c>
      <c r="E19" s="33"/>
      <c r="F19" s="34" t="s">
        <v>134</v>
      </c>
      <c r="G19" s="42">
        <v>7980</v>
      </c>
      <c r="H19" s="42">
        <v>2527</v>
      </c>
      <c r="I19" s="42">
        <v>2230.11</v>
      </c>
      <c r="J19" s="36">
        <f t="shared" si="4"/>
        <v>173308500</v>
      </c>
      <c r="K19" s="42">
        <f>+'Phụ lục 02 Tiền Đất'!O27</f>
        <v>61803000</v>
      </c>
      <c r="L19" s="22">
        <f>+'Phụ lục 03 Tiền TS nhà'!O15</f>
        <v>111505500</v>
      </c>
      <c r="M19" s="35">
        <v>4</v>
      </c>
      <c r="N19" s="179">
        <f t="shared" si="2"/>
        <v>57769500</v>
      </c>
      <c r="O19" s="38"/>
      <c r="P19" s="37">
        <f t="shared" si="5"/>
        <v>20601000</v>
      </c>
      <c r="Q19" s="37">
        <f t="shared" si="6"/>
        <v>37168500</v>
      </c>
    </row>
    <row r="21" spans="1:17" x14ac:dyDescent="0.25">
      <c r="C21" s="43" t="s">
        <v>59</v>
      </c>
    </row>
    <row r="22" spans="1:17" s="197" customFormat="1" x14ac:dyDescent="0.25">
      <c r="A22" s="195"/>
      <c r="B22" s="195"/>
      <c r="C22" s="196" t="s">
        <v>60</v>
      </c>
    </row>
    <row r="23" spans="1:17" s="197" customFormat="1" ht="34.5" customHeight="1" x14ac:dyDescent="0.25">
      <c r="A23" s="195"/>
      <c r="B23" s="195"/>
      <c r="C23" s="323" t="s">
        <v>61</v>
      </c>
      <c r="D23" s="323"/>
      <c r="E23" s="323"/>
      <c r="F23" s="323"/>
      <c r="G23" s="323"/>
      <c r="H23" s="323"/>
      <c r="I23" s="323"/>
      <c r="J23" s="323"/>
      <c r="K23" s="323"/>
      <c r="L23" s="323"/>
      <c r="M23" s="198"/>
    </row>
  </sheetData>
  <mergeCells count="13">
    <mergeCell ref="O6:O7"/>
    <mergeCell ref="J6:L6"/>
    <mergeCell ref="M6:N6"/>
    <mergeCell ref="C23:L23"/>
    <mergeCell ref="A2:E2"/>
    <mergeCell ref="A4:L4"/>
    <mergeCell ref="A8:D8"/>
    <mergeCell ref="A6:A7"/>
    <mergeCell ref="C6:C7"/>
    <mergeCell ref="D6:D7"/>
    <mergeCell ref="E6:E7"/>
    <mergeCell ref="F6:F7"/>
    <mergeCell ref="G6:I6"/>
  </mergeCells>
  <pageMargins left="0.70866141732283472" right="0.70866141732283472" top="0.74803149606299213" bottom="0.74803149606299213" header="0.31496062992125984" footer="0.31496062992125984"/>
  <pageSetup paperSize="9" scale="75" orientation="landscape" verticalDpi="0" r:id="rId1"/>
  <colBreaks count="1" manualBreakCount="1">
    <brk id="14" max="2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45"/>
  <sheetViews>
    <sheetView view="pageBreakPreview" topLeftCell="A6" zoomScaleNormal="100" zoomScaleSheetLayoutView="100" workbookViewId="0">
      <pane xSplit="3" ySplit="3" topLeftCell="D9" activePane="bottomRight" state="frozen"/>
      <selection activeCell="A6" sqref="A6"/>
      <selection pane="topRight" activeCell="D6" sqref="D6"/>
      <selection pane="bottomLeft" activeCell="A9" sqref="A9"/>
      <selection pane="bottomRight" activeCell="K40" sqref="K40"/>
    </sheetView>
  </sheetViews>
  <sheetFormatPr defaultColWidth="9.140625" defaultRowHeight="12.75" x14ac:dyDescent="0.2"/>
  <cols>
    <col min="1" max="1" width="4.42578125" style="50" customWidth="1"/>
    <col min="2" max="2" width="25.7109375" style="50" customWidth="1"/>
    <col min="3" max="3" width="27.5703125" style="50" customWidth="1"/>
    <col min="4" max="4" width="8.7109375" style="50" customWidth="1"/>
    <col min="5" max="5" width="12.5703125" style="50" bestFit="1" customWidth="1"/>
    <col min="6" max="6" width="10" style="50" customWidth="1"/>
    <col min="7" max="8" width="13.5703125" style="50" customWidth="1"/>
    <col min="9" max="9" width="15.7109375" style="50" bestFit="1" customWidth="1"/>
    <col min="10" max="10" width="16.85546875" style="50" bestFit="1" customWidth="1"/>
    <col min="11" max="11" width="15.5703125" style="50" customWidth="1"/>
    <col min="12" max="12" width="14" style="50" customWidth="1"/>
    <col min="13" max="13" width="25.85546875" style="50" hidden="1" customWidth="1"/>
    <col min="14" max="14" width="15.7109375" style="50" bestFit="1" customWidth="1"/>
    <col min="15" max="15" width="18.85546875" style="50" customWidth="1"/>
    <col min="16" max="16" width="10.42578125" style="50" customWidth="1"/>
    <col min="17" max="17" width="14.5703125" style="50" customWidth="1"/>
    <col min="18" max="18" width="14.140625" style="51" customWidth="1"/>
    <col min="19" max="19" width="12.42578125" style="50" customWidth="1"/>
    <col min="20" max="16384" width="9.140625" style="50"/>
  </cols>
  <sheetData>
    <row r="1" spans="1:19" ht="25.5" customHeight="1" x14ac:dyDescent="0.2">
      <c r="A1" s="327" t="s">
        <v>8</v>
      </c>
      <c r="B1" s="327"/>
      <c r="C1" s="327"/>
      <c r="D1" s="327"/>
      <c r="E1" s="327"/>
    </row>
    <row r="3" spans="1:19" x14ac:dyDescent="0.2">
      <c r="A3" s="180" t="s">
        <v>57</v>
      </c>
      <c r="B3" s="180"/>
      <c r="C3" s="180"/>
      <c r="D3" s="180"/>
      <c r="E3" s="180"/>
      <c r="F3" s="180"/>
      <c r="G3" s="180"/>
      <c r="H3" s="180"/>
      <c r="I3" s="180"/>
      <c r="J3" s="180"/>
      <c r="K3" s="180"/>
      <c r="L3" s="180"/>
      <c r="M3" s="180"/>
    </row>
    <row r="5" spans="1:19" x14ac:dyDescent="0.2">
      <c r="M5" s="50" t="s">
        <v>14</v>
      </c>
      <c r="N5" s="311" t="s">
        <v>14</v>
      </c>
      <c r="O5" s="311"/>
      <c r="P5" s="181"/>
      <c r="Q5" s="181"/>
    </row>
    <row r="6" spans="1:19" s="66" customFormat="1" ht="20.25" customHeight="1" x14ac:dyDescent="0.2">
      <c r="A6" s="312" t="s">
        <v>6</v>
      </c>
      <c r="B6" s="313" t="s">
        <v>5</v>
      </c>
      <c r="C6" s="313"/>
      <c r="D6" s="312" t="s">
        <v>7</v>
      </c>
      <c r="E6" s="312"/>
      <c r="F6" s="312"/>
      <c r="G6" s="313" t="s">
        <v>20</v>
      </c>
      <c r="H6" s="313" t="s">
        <v>21</v>
      </c>
      <c r="I6" s="314" t="s">
        <v>22</v>
      </c>
      <c r="J6" s="312" t="s">
        <v>19</v>
      </c>
      <c r="K6" s="312"/>
      <c r="L6" s="312"/>
      <c r="M6" s="316" t="s">
        <v>12</v>
      </c>
      <c r="N6" s="313" t="s">
        <v>72</v>
      </c>
      <c r="O6" s="313" t="s">
        <v>18</v>
      </c>
      <c r="P6" s="182"/>
      <c r="Q6" s="182"/>
      <c r="R6" s="183"/>
    </row>
    <row r="7" spans="1:19" s="55" customFormat="1" ht="38.25" x14ac:dyDescent="0.25">
      <c r="A7" s="312"/>
      <c r="B7" s="313"/>
      <c r="C7" s="313"/>
      <c r="D7" s="52" t="s">
        <v>2</v>
      </c>
      <c r="E7" s="52" t="s">
        <v>0</v>
      </c>
      <c r="F7" s="52" t="s">
        <v>1</v>
      </c>
      <c r="G7" s="313"/>
      <c r="H7" s="313"/>
      <c r="I7" s="315"/>
      <c r="J7" s="52" t="s">
        <v>13</v>
      </c>
      <c r="K7" s="52" t="s">
        <v>3</v>
      </c>
      <c r="L7" s="52" t="s">
        <v>4</v>
      </c>
      <c r="M7" s="317"/>
      <c r="N7" s="313"/>
      <c r="O7" s="313"/>
      <c r="P7" s="182"/>
      <c r="Q7" s="184"/>
      <c r="R7" s="185"/>
    </row>
    <row r="8" spans="1:19" s="55" customFormat="1" x14ac:dyDescent="0.25">
      <c r="A8" s="54" t="s">
        <v>37</v>
      </c>
      <c r="B8" s="52" t="s">
        <v>138</v>
      </c>
      <c r="C8" s="52"/>
      <c r="D8" s="52"/>
      <c r="E8" s="52"/>
      <c r="F8" s="52"/>
      <c r="G8" s="52">
        <v>0.4</v>
      </c>
      <c r="H8" s="56">
        <f>5/7</f>
        <v>0.7142857142857143</v>
      </c>
      <c r="I8" s="53"/>
      <c r="J8" s="52"/>
      <c r="K8" s="52"/>
      <c r="L8" s="52"/>
      <c r="M8" s="186"/>
      <c r="N8" s="52"/>
      <c r="O8" s="57"/>
      <c r="P8" s="182"/>
      <c r="Q8" s="184"/>
      <c r="R8" s="185"/>
    </row>
    <row r="9" spans="1:19" s="66" customFormat="1" ht="25.5" x14ac:dyDescent="0.2">
      <c r="A9" s="306">
        <v>1</v>
      </c>
      <c r="B9" s="49" t="s">
        <v>16</v>
      </c>
      <c r="C9" s="49" t="s">
        <v>41</v>
      </c>
      <c r="D9" s="59">
        <f>SUM(D10:D11)</f>
        <v>1671.3000000000002</v>
      </c>
      <c r="E9" s="59">
        <f>SUM(E10:E11)</f>
        <v>1671.3000000000002</v>
      </c>
      <c r="F9" s="59">
        <f>SUM(F10:F11)</f>
        <v>0</v>
      </c>
      <c r="G9" s="60"/>
      <c r="H9" s="61"/>
      <c r="I9" s="62"/>
      <c r="J9" s="63">
        <f>SUM(K9:L9)</f>
        <v>32683404000</v>
      </c>
      <c r="K9" s="63">
        <f>SUM(K10:K11)</f>
        <v>32683404000</v>
      </c>
      <c r="L9" s="63">
        <f>SUM(L10:L11)</f>
        <v>0</v>
      </c>
      <c r="M9" s="307"/>
      <c r="N9" s="64">
        <v>1.2999999999999999E-2</v>
      </c>
      <c r="O9" s="65">
        <f>+J9*N9</f>
        <v>424884252</v>
      </c>
      <c r="P9" s="85"/>
      <c r="Q9" s="85"/>
      <c r="R9" s="183"/>
      <c r="S9" s="187"/>
    </row>
    <row r="10" spans="1:19" ht="21" customHeight="1" x14ac:dyDescent="0.2">
      <c r="A10" s="306"/>
      <c r="B10" s="67" t="s">
        <v>10</v>
      </c>
      <c r="C10" s="67"/>
      <c r="D10" s="62">
        <f>SUM(E10:F10)</f>
        <v>1196.9000000000001</v>
      </c>
      <c r="E10" s="62">
        <v>1196.9000000000001</v>
      </c>
      <c r="F10" s="62">
        <v>0</v>
      </c>
      <c r="G10" s="61">
        <v>28140000</v>
      </c>
      <c r="H10" s="61">
        <f>G10/7*5</f>
        <v>20100000</v>
      </c>
      <c r="I10" s="62">
        <v>1.2</v>
      </c>
      <c r="J10" s="68">
        <f>SUM(K10:L10)</f>
        <v>28869228000</v>
      </c>
      <c r="K10" s="68">
        <f>E10*H10*I10</f>
        <v>28869228000</v>
      </c>
      <c r="L10" s="68">
        <f>+F10*$G$10</f>
        <v>0</v>
      </c>
      <c r="M10" s="307"/>
      <c r="N10" s="64"/>
      <c r="O10" s="65"/>
      <c r="P10" s="85"/>
      <c r="Q10" s="85"/>
    </row>
    <row r="11" spans="1:19" ht="21" customHeight="1" x14ac:dyDescent="0.2">
      <c r="A11" s="306"/>
      <c r="B11" s="67" t="s">
        <v>11</v>
      </c>
      <c r="C11" s="67"/>
      <c r="D11" s="62">
        <f>SUM(E11:F11)</f>
        <v>474.4</v>
      </c>
      <c r="E11" s="62">
        <v>474.4</v>
      </c>
      <c r="F11" s="62">
        <v>0</v>
      </c>
      <c r="G11" s="68">
        <f>+G10*0.4</f>
        <v>11256000</v>
      </c>
      <c r="H11" s="61">
        <f>G11/7*5</f>
        <v>8040000</v>
      </c>
      <c r="I11" s="62">
        <v>1</v>
      </c>
      <c r="J11" s="70">
        <f>SUM(K11:L11)</f>
        <v>3814176000</v>
      </c>
      <c r="K11" s="68">
        <f>E11*H11*I11</f>
        <v>3814176000</v>
      </c>
      <c r="L11" s="68">
        <f>+F11*G11*0.7</f>
        <v>0</v>
      </c>
      <c r="M11" s="308"/>
      <c r="N11" s="64"/>
      <c r="O11" s="65"/>
      <c r="P11" s="85"/>
      <c r="Q11" s="85"/>
    </row>
    <row r="12" spans="1:19" s="66" customFormat="1" ht="25.5" x14ac:dyDescent="0.2">
      <c r="A12" s="306">
        <v>2</v>
      </c>
      <c r="B12" s="49" t="s">
        <v>17</v>
      </c>
      <c r="C12" s="49" t="s">
        <v>42</v>
      </c>
      <c r="D12" s="59">
        <f>SUM(D13:D13)</f>
        <v>596.79999999999995</v>
      </c>
      <c r="E12" s="59">
        <f>SUM(E13:E13)</f>
        <v>420.5</v>
      </c>
      <c r="F12" s="59">
        <f>SUM(F13:F13)</f>
        <v>176.3</v>
      </c>
      <c r="G12" s="60"/>
      <c r="H12" s="61"/>
      <c r="I12" s="62"/>
      <c r="J12" s="63">
        <f>SUM(K12:L12)</f>
        <v>8582899800</v>
      </c>
      <c r="K12" s="63">
        <f>SUM(K13:K13)</f>
        <v>6635490000</v>
      </c>
      <c r="L12" s="63">
        <f>SUM(L13:L13)</f>
        <v>1947409800</v>
      </c>
      <c r="M12" s="309" t="s">
        <v>15</v>
      </c>
      <c r="N12" s="71">
        <v>1.2999999999999999E-2</v>
      </c>
      <c r="O12" s="58">
        <f>+J12*N12</f>
        <v>111577697.39999999</v>
      </c>
      <c r="P12" s="188"/>
      <c r="Q12" s="188"/>
      <c r="R12" s="51"/>
    </row>
    <row r="13" spans="1:19" ht="21" customHeight="1" x14ac:dyDescent="0.2">
      <c r="A13" s="306"/>
      <c r="B13" s="67" t="s">
        <v>10</v>
      </c>
      <c r="C13" s="67"/>
      <c r="D13" s="62">
        <f t="shared" ref="D13:D29" si="0">SUM(E13:F13)</f>
        <v>596.79999999999995</v>
      </c>
      <c r="E13" s="62">
        <v>420.5</v>
      </c>
      <c r="F13" s="62">
        <v>176.3</v>
      </c>
      <c r="G13" s="68">
        <v>18410000</v>
      </c>
      <c r="H13" s="61">
        <f>G13/7*5</f>
        <v>13150000</v>
      </c>
      <c r="I13" s="62">
        <v>1.2</v>
      </c>
      <c r="J13" s="68">
        <f>SUM(K13:L13)</f>
        <v>8582899800</v>
      </c>
      <c r="K13" s="68">
        <f>E13*H13*I13</f>
        <v>6635490000</v>
      </c>
      <c r="L13" s="68">
        <f>F13*H13*0.7*1.2</f>
        <v>1947409800</v>
      </c>
      <c r="M13" s="307"/>
      <c r="N13" s="64"/>
      <c r="O13" s="69"/>
      <c r="P13" s="189"/>
      <c r="Q13" s="189"/>
    </row>
    <row r="14" spans="1:19" s="66" customFormat="1" ht="43.5" customHeight="1" x14ac:dyDescent="0.2">
      <c r="A14" s="306">
        <v>3</v>
      </c>
      <c r="B14" s="72" t="s">
        <v>62</v>
      </c>
      <c r="C14" s="73" t="s">
        <v>63</v>
      </c>
      <c r="D14" s="59">
        <f>SUM(D15:D16)</f>
        <v>2421.6</v>
      </c>
      <c r="E14" s="59">
        <f>SUM(E15:E16)</f>
        <v>2421.6</v>
      </c>
      <c r="F14" s="59">
        <f>SUM(F15:F16)</f>
        <v>0</v>
      </c>
      <c r="G14" s="60"/>
      <c r="H14" s="61"/>
      <c r="I14" s="62"/>
      <c r="J14" s="63">
        <f>SUM(J15:J16)</f>
        <v>26800200000</v>
      </c>
      <c r="K14" s="63">
        <f>SUM(K15:K16)</f>
        <v>26800200000</v>
      </c>
      <c r="L14" s="63">
        <f>SUM(L15:L16)</f>
        <v>0</v>
      </c>
      <c r="M14" s="84"/>
      <c r="N14" s="64">
        <v>1.2999999999999999E-2</v>
      </c>
      <c r="O14" s="65">
        <f>+J14*N14</f>
        <v>348402600</v>
      </c>
      <c r="P14" s="85"/>
      <c r="Q14" s="85"/>
      <c r="R14" s="51"/>
    </row>
    <row r="15" spans="1:19" ht="21" customHeight="1" thickBot="1" x14ac:dyDescent="0.25">
      <c r="A15" s="306"/>
      <c r="B15" s="67" t="s">
        <v>10</v>
      </c>
      <c r="C15" s="67"/>
      <c r="D15" s="62">
        <f t="shared" si="0"/>
        <v>1221.5999999999999</v>
      </c>
      <c r="E15" s="62">
        <v>1221.5999999999999</v>
      </c>
      <c r="F15" s="62"/>
      <c r="G15" s="61">
        <v>22050000</v>
      </c>
      <c r="H15" s="61">
        <f>+G15/7*5</f>
        <v>15750000</v>
      </c>
      <c r="I15" s="62">
        <v>1</v>
      </c>
      <c r="J15" s="68">
        <f>SUM(K15:L15)</f>
        <v>19240200000</v>
      </c>
      <c r="K15" s="68">
        <f>E15*H15*I15</f>
        <v>19240200000</v>
      </c>
      <c r="L15" s="68"/>
      <c r="M15" s="84"/>
      <c r="N15" s="64"/>
      <c r="O15" s="65"/>
      <c r="P15" s="85"/>
      <c r="Q15" s="190"/>
    </row>
    <row r="16" spans="1:19" ht="21" customHeight="1" thickBot="1" x14ac:dyDescent="0.25">
      <c r="A16" s="306"/>
      <c r="B16" s="67" t="s">
        <v>11</v>
      </c>
      <c r="C16" s="67"/>
      <c r="D16" s="62">
        <f t="shared" si="0"/>
        <v>1200</v>
      </c>
      <c r="E16" s="62">
        <v>1200</v>
      </c>
      <c r="F16" s="62"/>
      <c r="G16" s="61">
        <f>+G15*0.4</f>
        <v>8820000</v>
      </c>
      <c r="H16" s="61">
        <f>+G16/7*5</f>
        <v>6300000</v>
      </c>
      <c r="I16" s="62">
        <v>1</v>
      </c>
      <c r="J16" s="68">
        <f>SUM(K16:L16)</f>
        <v>7560000000</v>
      </c>
      <c r="K16" s="68">
        <f>E16*H16*I16</f>
        <v>7560000000</v>
      </c>
      <c r="L16" s="68"/>
      <c r="M16" s="84"/>
      <c r="N16" s="64"/>
      <c r="O16" s="65"/>
      <c r="P16" s="85"/>
      <c r="Q16" s="190"/>
    </row>
    <row r="17" spans="1:18" s="66" customFormat="1" ht="30.75" thickBot="1" x14ac:dyDescent="0.25">
      <c r="A17" s="306">
        <v>4</v>
      </c>
      <c r="B17" s="49" t="s">
        <v>64</v>
      </c>
      <c r="C17" s="73" t="s">
        <v>65</v>
      </c>
      <c r="D17" s="59">
        <f>SUM(D18:D20)</f>
        <v>3206.6</v>
      </c>
      <c r="E17" s="59"/>
      <c r="F17" s="59">
        <f>SUM(F18:F20)</f>
        <v>0</v>
      </c>
      <c r="G17" s="60"/>
      <c r="H17" s="61"/>
      <c r="I17" s="62"/>
      <c r="J17" s="63">
        <f>SUM(J18:J20)</f>
        <v>50232312000</v>
      </c>
      <c r="K17" s="63">
        <f>SUM(K18:K20)</f>
        <v>50232312000</v>
      </c>
      <c r="L17" s="63">
        <f>SUM(L18:L20)</f>
        <v>0</v>
      </c>
      <c r="M17" s="84"/>
      <c r="N17" s="64">
        <v>1.2999999999999999E-2</v>
      </c>
      <c r="O17" s="65">
        <f>+J17*N17</f>
        <v>653020056</v>
      </c>
      <c r="P17" s="85"/>
      <c r="Q17" s="190"/>
      <c r="R17" s="51"/>
    </row>
    <row r="18" spans="1:18" ht="21" customHeight="1" x14ac:dyDescent="0.2">
      <c r="A18" s="306"/>
      <c r="B18" s="67" t="s">
        <v>10</v>
      </c>
      <c r="C18" s="67"/>
      <c r="D18" s="62">
        <f t="shared" si="0"/>
        <v>1537.9</v>
      </c>
      <c r="E18" s="191">
        <v>1537.9</v>
      </c>
      <c r="F18" s="62"/>
      <c r="G18" s="61">
        <v>28140000</v>
      </c>
      <c r="H18" s="61">
        <f>+G18*$H$8</f>
        <v>20100000</v>
      </c>
      <c r="I18" s="62">
        <v>1.2</v>
      </c>
      <c r="J18" s="68">
        <f>SUM(K18:L18)</f>
        <v>37094148000</v>
      </c>
      <c r="K18" s="68">
        <f>E18*H18*I18</f>
        <v>37094148000</v>
      </c>
      <c r="L18" s="68"/>
      <c r="M18" s="84"/>
      <c r="N18" s="64"/>
      <c r="O18" s="65"/>
      <c r="P18" s="85"/>
      <c r="Q18" s="85"/>
    </row>
    <row r="19" spans="1:18" ht="21" customHeight="1" x14ac:dyDescent="0.2">
      <c r="A19" s="306"/>
      <c r="B19" s="67" t="s">
        <v>11</v>
      </c>
      <c r="C19" s="67"/>
      <c r="D19" s="62">
        <f t="shared" si="0"/>
        <v>1530.3</v>
      </c>
      <c r="E19" s="192">
        <v>1530.3</v>
      </c>
      <c r="F19" s="62"/>
      <c r="G19" s="61">
        <f>+G18*0.4</f>
        <v>11256000</v>
      </c>
      <c r="H19" s="61">
        <f>+G19*$H$8</f>
        <v>8040000</v>
      </c>
      <c r="I19" s="62">
        <v>1</v>
      </c>
      <c r="J19" s="68">
        <f>SUM(K19:L19)</f>
        <v>12303612000</v>
      </c>
      <c r="K19" s="68">
        <f>E19*H19*I19</f>
        <v>12303612000</v>
      </c>
      <c r="L19" s="68"/>
      <c r="M19" s="84"/>
      <c r="N19" s="64"/>
      <c r="O19" s="65"/>
      <c r="P19" s="85"/>
      <c r="Q19" s="85"/>
    </row>
    <row r="20" spans="1:18" ht="21" customHeight="1" x14ac:dyDescent="0.2">
      <c r="A20" s="306"/>
      <c r="B20" s="67" t="s">
        <v>73</v>
      </c>
      <c r="C20" s="67"/>
      <c r="D20" s="62">
        <f t="shared" si="0"/>
        <v>138.4</v>
      </c>
      <c r="E20" s="62">
        <v>138.4</v>
      </c>
      <c r="F20" s="62"/>
      <c r="G20" s="61">
        <f>+G18*0.3</f>
        <v>8442000</v>
      </c>
      <c r="H20" s="61">
        <f>+G20*$H$8</f>
        <v>6030000</v>
      </c>
      <c r="I20" s="62">
        <v>1</v>
      </c>
      <c r="J20" s="68">
        <f>SUM(K20:L20)</f>
        <v>834552000</v>
      </c>
      <c r="K20" s="68">
        <f>E20*H20*I20</f>
        <v>834552000</v>
      </c>
      <c r="L20" s="68"/>
      <c r="M20" s="84"/>
      <c r="N20" s="64"/>
      <c r="O20" s="65"/>
      <c r="P20" s="85"/>
      <c r="Q20" s="85"/>
    </row>
    <row r="21" spans="1:18" s="66" customFormat="1" ht="38.25" x14ac:dyDescent="0.2">
      <c r="A21" s="306">
        <v>5</v>
      </c>
      <c r="B21" s="49" t="s">
        <v>66</v>
      </c>
      <c r="C21" s="73" t="s">
        <v>67</v>
      </c>
      <c r="D21" s="59">
        <f>SUM(D22:D23)</f>
        <v>2792.5</v>
      </c>
      <c r="E21" s="59">
        <f>SUM(E22:E23)</f>
        <v>2792.5</v>
      </c>
      <c r="F21" s="59">
        <f>SUM(F22:F23)</f>
        <v>0</v>
      </c>
      <c r="G21" s="60"/>
      <c r="H21" s="61"/>
      <c r="I21" s="62"/>
      <c r="J21" s="63">
        <f>SUM(J22:J23)</f>
        <v>1633803600</v>
      </c>
      <c r="K21" s="63">
        <f>SUM(K22:K23)</f>
        <v>1633803600</v>
      </c>
      <c r="L21" s="63">
        <f>SUM(L22:L23)</f>
        <v>0</v>
      </c>
      <c r="M21" s="84"/>
      <c r="N21" s="64">
        <v>0.01</v>
      </c>
      <c r="O21" s="65">
        <f>+J21*N21</f>
        <v>16338036</v>
      </c>
      <c r="P21" s="85"/>
      <c r="Q21" s="85"/>
      <c r="R21" s="51"/>
    </row>
    <row r="22" spans="1:18" ht="21" customHeight="1" x14ac:dyDescent="0.2">
      <c r="A22" s="306"/>
      <c r="B22" s="67" t="s">
        <v>10</v>
      </c>
      <c r="C22" s="67"/>
      <c r="D22" s="62">
        <f t="shared" si="0"/>
        <v>2264.1</v>
      </c>
      <c r="E22" s="62">
        <v>2264.1</v>
      </c>
      <c r="F22" s="62"/>
      <c r="G22" s="61">
        <v>924000</v>
      </c>
      <c r="H22" s="61">
        <f>+G22*$H$8</f>
        <v>660000</v>
      </c>
      <c r="I22" s="62">
        <v>1</v>
      </c>
      <c r="J22" s="68">
        <f>SUM(K22:L22)</f>
        <v>1494306000</v>
      </c>
      <c r="K22" s="68">
        <f>E22*H22*I22</f>
        <v>1494306000</v>
      </c>
      <c r="L22" s="68"/>
      <c r="M22" s="84"/>
      <c r="N22" s="64"/>
      <c r="O22" s="65"/>
      <c r="P22" s="85"/>
      <c r="Q22" s="85"/>
    </row>
    <row r="23" spans="1:18" ht="21" customHeight="1" x14ac:dyDescent="0.2">
      <c r="A23" s="306"/>
      <c r="B23" s="67" t="s">
        <v>11</v>
      </c>
      <c r="C23" s="67"/>
      <c r="D23" s="62">
        <f t="shared" si="0"/>
        <v>528.40000000000009</v>
      </c>
      <c r="E23" s="62">
        <v>528.40000000000009</v>
      </c>
      <c r="F23" s="62"/>
      <c r="G23" s="61">
        <f>+G22*0.4</f>
        <v>369600</v>
      </c>
      <c r="H23" s="61">
        <f>+G23*$H$8</f>
        <v>264000</v>
      </c>
      <c r="I23" s="62">
        <v>1</v>
      </c>
      <c r="J23" s="68">
        <f>SUM(K23:L23)</f>
        <v>139497600.00000003</v>
      </c>
      <c r="K23" s="68">
        <f>E23*H23*I23</f>
        <v>139497600.00000003</v>
      </c>
      <c r="L23" s="68"/>
      <c r="M23" s="84"/>
      <c r="N23" s="64"/>
      <c r="O23" s="65"/>
      <c r="P23" s="85"/>
      <c r="Q23" s="85"/>
    </row>
    <row r="24" spans="1:18" s="66" customFormat="1" ht="47.25" x14ac:dyDescent="0.2">
      <c r="A24" s="306">
        <v>6</v>
      </c>
      <c r="B24" s="48" t="s">
        <v>68</v>
      </c>
      <c r="C24" s="73" t="s">
        <v>69</v>
      </c>
      <c r="D24" s="59">
        <f>SUM(D25:D26)</f>
        <v>4796.7</v>
      </c>
      <c r="E24" s="59"/>
      <c r="F24" s="59">
        <f>SUM(F25:F26)</f>
        <v>0</v>
      </c>
      <c r="G24" s="60"/>
      <c r="H24" s="61"/>
      <c r="I24" s="62"/>
      <c r="J24" s="63">
        <f>SUM(J25:J26)</f>
        <v>11828972571.42857</v>
      </c>
      <c r="K24" s="63">
        <f>SUM(K25:K26)</f>
        <v>11828972571.42857</v>
      </c>
      <c r="L24" s="63">
        <f>SUM(L25:L26)</f>
        <v>0</v>
      </c>
      <c r="M24" s="84"/>
      <c r="N24" s="76">
        <v>7.4999999999999997E-3</v>
      </c>
      <c r="O24" s="65">
        <f>+J24*N24</f>
        <v>88717294.285714269</v>
      </c>
      <c r="P24" s="85"/>
      <c r="Q24" s="85"/>
      <c r="R24" s="51"/>
    </row>
    <row r="25" spans="1:18" ht="21" customHeight="1" x14ac:dyDescent="0.2">
      <c r="A25" s="306"/>
      <c r="B25" s="67" t="s">
        <v>10</v>
      </c>
      <c r="C25" s="67"/>
      <c r="D25" s="62">
        <f t="shared" si="0"/>
        <v>2829.1</v>
      </c>
      <c r="E25" s="62">
        <v>2829.1</v>
      </c>
      <c r="F25" s="62"/>
      <c r="G25" s="61">
        <v>3960000</v>
      </c>
      <c r="H25" s="61">
        <f>+G25*$H$8</f>
        <v>2828571.4285714286</v>
      </c>
      <c r="I25" s="62">
        <v>1.2</v>
      </c>
      <c r="J25" s="68">
        <f>SUM(K25:L25)</f>
        <v>9602773714.2857132</v>
      </c>
      <c r="K25" s="68">
        <f>E25*H25*I25</f>
        <v>9602773714.2857132</v>
      </c>
      <c r="L25" s="68"/>
      <c r="M25" s="84"/>
      <c r="N25" s="64"/>
      <c r="O25" s="65"/>
      <c r="P25" s="85"/>
      <c r="Q25" s="85"/>
    </row>
    <row r="26" spans="1:18" ht="21" customHeight="1" x14ac:dyDescent="0.2">
      <c r="A26" s="306"/>
      <c r="B26" s="67" t="s">
        <v>11</v>
      </c>
      <c r="C26" s="67"/>
      <c r="D26" s="62">
        <f t="shared" si="0"/>
        <v>1967.6</v>
      </c>
      <c r="E26" s="62">
        <v>1967.6</v>
      </c>
      <c r="F26" s="62"/>
      <c r="G26" s="61">
        <f>+G25*0.4</f>
        <v>1584000</v>
      </c>
      <c r="H26" s="61">
        <f>+G26*$H$8</f>
        <v>1131428.5714285714</v>
      </c>
      <c r="I26" s="62">
        <v>1</v>
      </c>
      <c r="J26" s="68">
        <f>SUM(K26:L26)</f>
        <v>2226198857.1428571</v>
      </c>
      <c r="K26" s="68">
        <f>E26*H26*I26</f>
        <v>2226198857.1428571</v>
      </c>
      <c r="L26" s="68"/>
      <c r="M26" s="84"/>
      <c r="N26" s="64"/>
      <c r="O26" s="65"/>
      <c r="P26" s="85"/>
      <c r="Q26" s="85"/>
    </row>
    <row r="27" spans="1:18" s="66" customFormat="1" ht="32.25" customHeight="1" x14ac:dyDescent="0.2">
      <c r="A27" s="306">
        <v>7</v>
      </c>
      <c r="B27" s="77" t="s">
        <v>70</v>
      </c>
      <c r="C27" s="73" t="s">
        <v>71</v>
      </c>
      <c r="D27" s="59">
        <f>SUM(D28:D29)</f>
        <v>7980</v>
      </c>
      <c r="E27" s="59"/>
      <c r="F27" s="59">
        <f>SUM(F28:F29)</f>
        <v>0</v>
      </c>
      <c r="G27" s="60"/>
      <c r="H27" s="61"/>
      <c r="I27" s="62"/>
      <c r="J27" s="63">
        <f>SUM(J28:J29)</f>
        <v>8240400000</v>
      </c>
      <c r="K27" s="63">
        <f>SUM(K28:K29)</f>
        <v>8240400000</v>
      </c>
      <c r="L27" s="63">
        <f>SUM(L28:L29)</f>
        <v>0</v>
      </c>
      <c r="M27" s="84"/>
      <c r="N27" s="76">
        <v>7.4999999999999997E-3</v>
      </c>
      <c r="O27" s="65">
        <f>+J27*N27</f>
        <v>61803000</v>
      </c>
      <c r="P27" s="85"/>
      <c r="Q27" s="85"/>
      <c r="R27" s="51"/>
    </row>
    <row r="28" spans="1:18" ht="21" customHeight="1" x14ac:dyDescent="0.2">
      <c r="A28" s="306"/>
      <c r="B28" s="67" t="s">
        <v>10</v>
      </c>
      <c r="C28" s="67"/>
      <c r="D28" s="62">
        <f t="shared" si="0"/>
        <v>5362</v>
      </c>
      <c r="E28" s="191">
        <v>5362</v>
      </c>
      <c r="F28" s="62"/>
      <c r="G28" s="61">
        <v>1800000</v>
      </c>
      <c r="H28" s="61">
        <f>+G28*$H$8</f>
        <v>1285714.2857142857</v>
      </c>
      <c r="I28" s="62">
        <v>1</v>
      </c>
      <c r="J28" s="68">
        <f>SUM(K28:L28)</f>
        <v>6894000000</v>
      </c>
      <c r="K28" s="68">
        <f>E28*H28*I28</f>
        <v>6894000000</v>
      </c>
      <c r="L28" s="68"/>
      <c r="M28" s="84"/>
      <c r="N28" s="64"/>
      <c r="O28" s="65"/>
      <c r="P28" s="85"/>
      <c r="Q28" s="85"/>
    </row>
    <row r="29" spans="1:18" ht="21" customHeight="1" x14ac:dyDescent="0.2">
      <c r="A29" s="306"/>
      <c r="B29" s="67" t="s">
        <v>11</v>
      </c>
      <c r="C29" s="67"/>
      <c r="D29" s="62">
        <f t="shared" si="0"/>
        <v>2618</v>
      </c>
      <c r="E29" s="78">
        <v>2618</v>
      </c>
      <c r="F29" s="62"/>
      <c r="G29" s="61">
        <f>+G28*0.4</f>
        <v>720000</v>
      </c>
      <c r="H29" s="61">
        <f>+G29*$H$8</f>
        <v>514285.71428571432</v>
      </c>
      <c r="I29" s="62">
        <v>1</v>
      </c>
      <c r="J29" s="68">
        <f>SUM(K29:L29)</f>
        <v>1346400000</v>
      </c>
      <c r="K29" s="68">
        <f>E29*H29*I29</f>
        <v>1346400000</v>
      </c>
      <c r="L29" s="68"/>
      <c r="M29" s="84"/>
      <c r="N29" s="64"/>
      <c r="O29" s="65"/>
      <c r="P29" s="85"/>
      <c r="Q29" s="85"/>
    </row>
    <row r="30" spans="1:18" ht="21" customHeight="1" x14ac:dyDescent="0.2">
      <c r="A30" s="74"/>
      <c r="B30" s="79"/>
      <c r="C30" s="79"/>
      <c r="D30" s="80"/>
      <c r="E30" s="81"/>
      <c r="F30" s="80"/>
      <c r="G30" s="82"/>
      <c r="H30" s="82"/>
      <c r="I30" s="80"/>
      <c r="J30" s="83"/>
      <c r="K30" s="83"/>
      <c r="L30" s="83"/>
      <c r="M30" s="84"/>
      <c r="N30" s="85"/>
      <c r="O30" s="85"/>
      <c r="P30" s="85"/>
      <c r="Q30" s="85"/>
    </row>
    <row r="32" spans="1:18" x14ac:dyDescent="0.2">
      <c r="A32" s="86" t="s">
        <v>9</v>
      </c>
    </row>
    <row r="33" spans="8:19" x14ac:dyDescent="0.2">
      <c r="Q33" s="87"/>
      <c r="R33" s="87"/>
      <c r="S33" s="88"/>
    </row>
    <row r="34" spans="8:19" x14ac:dyDescent="0.2">
      <c r="I34" s="193"/>
      <c r="J34" s="89"/>
      <c r="K34" s="51"/>
      <c r="L34" s="90"/>
      <c r="N34" s="91"/>
      <c r="O34" s="92"/>
      <c r="Q34" s="91"/>
    </row>
    <row r="35" spans="8:19" x14ac:dyDescent="0.2">
      <c r="I35" s="93"/>
      <c r="K35" s="91"/>
      <c r="L35" s="91"/>
      <c r="O35" s="92"/>
      <c r="P35" s="92"/>
      <c r="Q35" s="91"/>
      <c r="S35" s="89"/>
    </row>
    <row r="36" spans="8:19" x14ac:dyDescent="0.2">
      <c r="H36" s="91"/>
      <c r="K36" s="91"/>
      <c r="P36" s="91"/>
    </row>
    <row r="37" spans="8:19" x14ac:dyDescent="0.2">
      <c r="H37" s="51"/>
      <c r="I37" s="91"/>
      <c r="J37" s="91"/>
      <c r="L37" s="91"/>
      <c r="N37" s="51"/>
      <c r="Q37" s="91"/>
    </row>
    <row r="38" spans="8:19" x14ac:dyDescent="0.2">
      <c r="J38" s="51"/>
      <c r="K38" s="51"/>
      <c r="Q38" s="51"/>
      <c r="S38" s="92"/>
    </row>
    <row r="39" spans="8:19" x14ac:dyDescent="0.2">
      <c r="K39" s="91"/>
    </row>
    <row r="43" spans="8:19" x14ac:dyDescent="0.2">
      <c r="S43" s="94"/>
    </row>
    <row r="44" spans="8:19" x14ac:dyDescent="0.2">
      <c r="S44" s="94"/>
    </row>
    <row r="45" spans="8:19" x14ac:dyDescent="0.2">
      <c r="S45" s="94"/>
    </row>
  </sheetData>
  <mergeCells count="22">
    <mergeCell ref="A14:A16"/>
    <mergeCell ref="A17:A20"/>
    <mergeCell ref="A21:A23"/>
    <mergeCell ref="A24:A26"/>
    <mergeCell ref="A27:A29"/>
    <mergeCell ref="A1:E1"/>
    <mergeCell ref="N5:O5"/>
    <mergeCell ref="H6:H7"/>
    <mergeCell ref="I6:I7"/>
    <mergeCell ref="N6:N7"/>
    <mergeCell ref="O6:O7"/>
    <mergeCell ref="C6:C7"/>
    <mergeCell ref="A12:A13"/>
    <mergeCell ref="M6:M7"/>
    <mergeCell ref="M9:M11"/>
    <mergeCell ref="M12:M13"/>
    <mergeCell ref="D6:F6"/>
    <mergeCell ref="G6:G7"/>
    <mergeCell ref="J6:L6"/>
    <mergeCell ref="B6:B7"/>
    <mergeCell ref="A6:A7"/>
    <mergeCell ref="A9:A11"/>
  </mergeCells>
  <pageMargins left="0.7" right="0.7" top="0.75" bottom="0.75" header="0.3" footer="0.3"/>
  <pageSetup paperSize="9" scale="61"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view="pageBreakPreview" topLeftCell="A4" zoomScale="115" zoomScaleNormal="100" zoomScaleSheetLayoutView="115" workbookViewId="0">
      <selection activeCell="O11" sqref="O11"/>
    </sheetView>
  </sheetViews>
  <sheetFormatPr defaultColWidth="9.140625" defaultRowHeight="12.75" x14ac:dyDescent="0.2"/>
  <cols>
    <col min="1" max="1" width="4.42578125" style="3" customWidth="1"/>
    <col min="2" max="2" width="23.85546875" style="3" customWidth="1"/>
    <col min="3" max="3" width="8.7109375" style="3" customWidth="1"/>
    <col min="4" max="4" width="11.140625" style="3" hidden="1" customWidth="1"/>
    <col min="5" max="5" width="9.5703125" style="3" hidden="1" customWidth="1"/>
    <col min="6" max="6" width="6.5703125" style="3" hidden="1" customWidth="1"/>
    <col min="7" max="7" width="9" style="3" hidden="1" customWidth="1"/>
    <col min="8" max="8" width="13.85546875" style="3" hidden="1" customWidth="1"/>
    <col min="9" max="9" width="8.85546875" style="3" hidden="1" customWidth="1"/>
    <col min="10" max="10" width="9.28515625" style="3" customWidth="1"/>
    <col min="11" max="11" width="8.85546875" style="3" customWidth="1"/>
    <col min="12" max="12" width="8.42578125" style="3" customWidth="1"/>
    <col min="13" max="13" width="16" style="3" customWidth="1"/>
    <col min="14" max="14" width="16.7109375" style="3" customWidth="1"/>
    <col min="15" max="15" width="15.140625" style="3" customWidth="1"/>
    <col min="16" max="16" width="15.42578125" style="3" customWidth="1"/>
    <col min="17" max="17" width="14.5703125" style="3" bestFit="1" customWidth="1"/>
    <col min="18" max="18" width="13.7109375" style="3" bestFit="1" customWidth="1"/>
    <col min="19" max="19" width="9.5703125" style="3" bestFit="1" customWidth="1"/>
    <col min="20" max="16384" width="9.140625" style="3"/>
  </cols>
  <sheetData>
    <row r="1" spans="1:19" x14ac:dyDescent="0.2">
      <c r="A1" s="2" t="s">
        <v>8</v>
      </c>
    </row>
    <row r="3" spans="1:19" x14ac:dyDescent="0.2">
      <c r="A3" s="4" t="s">
        <v>58</v>
      </c>
      <c r="B3" s="4"/>
      <c r="C3" s="4"/>
      <c r="D3" s="4"/>
      <c r="E3" s="4"/>
      <c r="F3" s="4"/>
      <c r="G3" s="4"/>
      <c r="H3" s="4"/>
      <c r="I3" s="4"/>
      <c r="J3" s="4"/>
      <c r="K3" s="4"/>
      <c r="L3" s="4"/>
      <c r="M3" s="4"/>
      <c r="N3" s="4"/>
    </row>
    <row r="6" spans="1:19" s="2" customFormat="1" ht="20.25" customHeight="1" x14ac:dyDescent="0.2">
      <c r="A6" s="338" t="s">
        <v>6</v>
      </c>
      <c r="B6" s="339" t="s">
        <v>5</v>
      </c>
      <c r="C6" s="336" t="s">
        <v>43</v>
      </c>
      <c r="D6" s="338" t="s">
        <v>23</v>
      </c>
      <c r="E6" s="338"/>
      <c r="F6" s="338"/>
      <c r="G6" s="338"/>
      <c r="H6" s="338"/>
      <c r="I6" s="333" t="s">
        <v>24</v>
      </c>
      <c r="J6" s="334"/>
      <c r="K6" s="334"/>
      <c r="L6" s="334"/>
      <c r="M6" s="334"/>
      <c r="N6" s="334"/>
      <c r="O6" s="335"/>
      <c r="P6" s="336" t="s">
        <v>12</v>
      </c>
    </row>
    <row r="7" spans="1:19" s="5" customFormat="1" ht="66" customHeight="1" x14ac:dyDescent="0.25">
      <c r="A7" s="338"/>
      <c r="B7" s="339"/>
      <c r="C7" s="337"/>
      <c r="D7" s="1" t="s">
        <v>25</v>
      </c>
      <c r="E7" s="17" t="s">
        <v>26</v>
      </c>
      <c r="F7" s="1" t="s">
        <v>27</v>
      </c>
      <c r="G7" s="1" t="s">
        <v>28</v>
      </c>
      <c r="H7" s="1" t="s">
        <v>36</v>
      </c>
      <c r="I7" s="16" t="s">
        <v>29</v>
      </c>
      <c r="J7" s="16" t="s">
        <v>30</v>
      </c>
      <c r="K7" s="16" t="s">
        <v>44</v>
      </c>
      <c r="L7" s="16" t="s">
        <v>31</v>
      </c>
      <c r="M7" s="16" t="s">
        <v>32</v>
      </c>
      <c r="N7" s="1" t="s">
        <v>33</v>
      </c>
      <c r="O7" s="1" t="s">
        <v>34</v>
      </c>
      <c r="P7" s="337"/>
    </row>
    <row r="8" spans="1:19" s="5" customFormat="1" ht="24.75" customHeight="1" x14ac:dyDescent="0.25">
      <c r="A8" s="25" t="s">
        <v>37</v>
      </c>
      <c r="B8" s="13" t="s">
        <v>130</v>
      </c>
      <c r="C8" s="174"/>
      <c r="D8" s="174"/>
      <c r="E8" s="174"/>
      <c r="F8" s="174"/>
      <c r="G8" s="174"/>
      <c r="H8" s="174"/>
      <c r="I8" s="174"/>
      <c r="J8" s="174"/>
      <c r="K8" s="174"/>
      <c r="L8" s="174"/>
      <c r="M8" s="174"/>
      <c r="N8" s="174"/>
      <c r="O8" s="174"/>
      <c r="P8" s="24"/>
    </row>
    <row r="9" spans="1:19" ht="36" customHeight="1" x14ac:dyDescent="0.2">
      <c r="A9" s="18">
        <v>1</v>
      </c>
      <c r="B9" s="26" t="s">
        <v>16</v>
      </c>
      <c r="C9" s="6">
        <f>+'PL khai thác'!E7</f>
        <v>0</v>
      </c>
      <c r="D9" s="8"/>
      <c r="E9" s="8"/>
      <c r="F9" s="8"/>
      <c r="G9" s="19"/>
      <c r="H9" s="7"/>
      <c r="I9" s="7"/>
      <c r="J9" s="6">
        <f>+'PL khai thác'!S11</f>
        <v>0</v>
      </c>
      <c r="K9" s="6">
        <f>+'PL khai thác'!T11</f>
        <v>0</v>
      </c>
      <c r="L9" s="20" t="s">
        <v>131</v>
      </c>
      <c r="M9" s="21">
        <f>+'PL khai thác'!U11</f>
        <v>0</v>
      </c>
      <c r="N9" s="21">
        <f>+'PL khai thác'!V11</f>
        <v>0</v>
      </c>
      <c r="O9" s="22">
        <f>+N9/7</f>
        <v>0</v>
      </c>
      <c r="P9" s="23" t="s">
        <v>142</v>
      </c>
      <c r="Q9" s="3">
        <f>+N9/7</f>
        <v>0</v>
      </c>
      <c r="R9" s="10" t="e">
        <f>+O9/K9</f>
        <v>#DIV/0!</v>
      </c>
      <c r="S9" s="3">
        <f>2026-2008</f>
        <v>18</v>
      </c>
    </row>
    <row r="10" spans="1:19" ht="27.75" customHeight="1" x14ac:dyDescent="0.2">
      <c r="A10" s="18">
        <v>2</v>
      </c>
      <c r="B10" s="26" t="s">
        <v>17</v>
      </c>
      <c r="C10" s="6">
        <f>+'PL khai thác'!E27</f>
        <v>0</v>
      </c>
      <c r="D10" s="8"/>
      <c r="E10" s="8"/>
      <c r="F10" s="8"/>
      <c r="G10" s="19"/>
      <c r="H10" s="7"/>
      <c r="I10" s="7"/>
      <c r="J10" s="6">
        <f>+'PL khai thác'!S30</f>
        <v>0</v>
      </c>
      <c r="K10" s="6">
        <f>+'PL khai thác'!T30</f>
        <v>0</v>
      </c>
      <c r="L10" s="20">
        <v>2001</v>
      </c>
      <c r="M10" s="7">
        <f>+'PL khai thác'!U30</f>
        <v>0</v>
      </c>
      <c r="N10" s="7">
        <f>+'PL khai thác'!V30</f>
        <v>0</v>
      </c>
      <c r="O10" s="22">
        <f>+N10/3</f>
        <v>0</v>
      </c>
      <c r="P10" s="23" t="s">
        <v>56</v>
      </c>
      <c r="Q10" s="15"/>
      <c r="R10" s="10" t="e">
        <f>+O10/K10</f>
        <v>#DIV/0!</v>
      </c>
    </row>
    <row r="11" spans="1:19" ht="27.75" customHeight="1" x14ac:dyDescent="0.2">
      <c r="A11" s="18">
        <v>3</v>
      </c>
      <c r="B11" s="26" t="s">
        <v>62</v>
      </c>
      <c r="C11" s="6">
        <f>+'PL khai thác'!E33</f>
        <v>0</v>
      </c>
      <c r="D11" s="8"/>
      <c r="E11" s="8"/>
      <c r="F11" s="8"/>
      <c r="G11" s="19"/>
      <c r="H11" s="7"/>
      <c r="I11" s="7"/>
      <c r="J11" s="6">
        <f>+'PL khai thác'!S37</f>
        <v>0</v>
      </c>
      <c r="K11" s="6">
        <f>+'PL khai thác'!T37</f>
        <v>0</v>
      </c>
      <c r="L11" s="20" t="s">
        <v>133</v>
      </c>
      <c r="M11" s="7">
        <f>+'PL khai thác'!U37</f>
        <v>0</v>
      </c>
      <c r="N11" s="7">
        <f>+'PL khai thác'!V37</f>
        <v>0</v>
      </c>
      <c r="O11" s="22" t="e">
        <f>+O9/K9*K11*0.8</f>
        <v>#DIV/0!</v>
      </c>
      <c r="P11" s="23" t="s">
        <v>143</v>
      </c>
      <c r="Q11" s="15"/>
    </row>
    <row r="12" spans="1:19" ht="27.75" customHeight="1" x14ac:dyDescent="0.2">
      <c r="A12" s="18">
        <v>4</v>
      </c>
      <c r="B12" s="26" t="s">
        <v>64</v>
      </c>
      <c r="C12" s="6">
        <f>+'PL khai thác'!E50</f>
        <v>0</v>
      </c>
      <c r="D12" s="8"/>
      <c r="E12" s="8"/>
      <c r="F12" s="8"/>
      <c r="G12" s="19"/>
      <c r="H12" s="7"/>
      <c r="I12" s="7"/>
      <c r="J12" s="6">
        <f>+'PL khai thác'!S55</f>
        <v>0</v>
      </c>
      <c r="K12" s="6">
        <f>+'PL khai thác'!T55</f>
        <v>0</v>
      </c>
      <c r="L12" s="20" t="s">
        <v>132</v>
      </c>
      <c r="M12" s="7">
        <f>+'PL khai thác'!U55</f>
        <v>0</v>
      </c>
      <c r="N12" s="7">
        <f>+'PL khai thác'!V55</f>
        <v>0</v>
      </c>
      <c r="O12" s="22">
        <f>+N12/4</f>
        <v>0</v>
      </c>
      <c r="P12" s="23" t="s">
        <v>141</v>
      </c>
      <c r="Q12" s="15">
        <f>+N12/4</f>
        <v>0</v>
      </c>
      <c r="R12" s="10" t="e">
        <f>+O12/K12</f>
        <v>#DIV/0!</v>
      </c>
    </row>
    <row r="13" spans="1:19" ht="38.25" x14ac:dyDescent="0.2">
      <c r="A13" s="18">
        <v>5</v>
      </c>
      <c r="B13" s="26" t="s">
        <v>66</v>
      </c>
      <c r="C13" s="6">
        <f>+'PL khai thác'!E70</f>
        <v>0</v>
      </c>
      <c r="D13" s="8"/>
      <c r="E13" s="8"/>
      <c r="F13" s="8"/>
      <c r="G13" s="19"/>
      <c r="H13" s="7"/>
      <c r="I13" s="7"/>
      <c r="J13" s="6">
        <f>+'PL khai thác'!S74</f>
        <v>0</v>
      </c>
      <c r="K13" s="6">
        <f>+'PL khai thác'!T74</f>
        <v>0</v>
      </c>
      <c r="L13" s="20"/>
      <c r="M13" s="7">
        <f>+'PL khai thác'!U74</f>
        <v>0</v>
      </c>
      <c r="N13" s="7">
        <f>+'PL khai thác'!V74</f>
        <v>0</v>
      </c>
      <c r="O13" s="22">
        <f>+K13*60000</f>
        <v>0</v>
      </c>
      <c r="P13" s="330" t="s">
        <v>135</v>
      </c>
      <c r="Q13" s="15"/>
      <c r="R13" s="10" t="e">
        <f>+K9*R12</f>
        <v>#DIV/0!</v>
      </c>
    </row>
    <row r="14" spans="1:19" ht="27.75" customHeight="1" x14ac:dyDescent="0.2">
      <c r="A14" s="18">
        <v>6</v>
      </c>
      <c r="B14" s="26" t="s">
        <v>113</v>
      </c>
      <c r="C14" s="6">
        <f>+'PL khai thác'!E81</f>
        <v>0</v>
      </c>
      <c r="D14" s="8"/>
      <c r="E14" s="8"/>
      <c r="F14" s="8"/>
      <c r="G14" s="19"/>
      <c r="H14" s="7"/>
      <c r="I14" s="7"/>
      <c r="J14" s="6">
        <f>+'PL khai thác'!S85</f>
        <v>0</v>
      </c>
      <c r="K14" s="6">
        <f>+'PL khai thác'!T85</f>
        <v>0</v>
      </c>
      <c r="L14" s="20" t="s">
        <v>132</v>
      </c>
      <c r="M14" s="7">
        <f>+'PL khai thác'!U85</f>
        <v>0</v>
      </c>
      <c r="N14" s="7">
        <f>+'PL khai thác'!V85</f>
        <v>0</v>
      </c>
      <c r="O14" s="22">
        <f>+K14*50000</f>
        <v>0</v>
      </c>
      <c r="P14" s="331"/>
      <c r="Q14" s="15"/>
    </row>
    <row r="15" spans="1:19" ht="27.75" customHeight="1" x14ac:dyDescent="0.2">
      <c r="A15" s="18">
        <v>7</v>
      </c>
      <c r="B15" s="26" t="s">
        <v>114</v>
      </c>
      <c r="C15" s="6">
        <f>+'PL khai thác'!E88</f>
        <v>0</v>
      </c>
      <c r="D15" s="8"/>
      <c r="E15" s="8"/>
      <c r="F15" s="8"/>
      <c r="G15" s="19"/>
      <c r="H15" s="7"/>
      <c r="I15" s="7"/>
      <c r="J15" s="6">
        <f>+'PL khai thác'!S92</f>
        <v>2527</v>
      </c>
      <c r="K15" s="6">
        <f>+'PL khai thác'!T92</f>
        <v>2230.11</v>
      </c>
      <c r="L15" s="20" t="s">
        <v>134</v>
      </c>
      <c r="M15" s="7">
        <f>+'PL khai thác'!U92</f>
        <v>27002582000</v>
      </c>
      <c r="N15" s="7">
        <f>+'PL khai thác'!V92</f>
        <v>11881136520</v>
      </c>
      <c r="O15" s="22">
        <f>+K15*50000</f>
        <v>111505500</v>
      </c>
      <c r="P15" s="332"/>
      <c r="Q15" s="15"/>
    </row>
    <row r="16" spans="1:19" s="2" customFormat="1" ht="21" customHeight="1" x14ac:dyDescent="0.2">
      <c r="A16" s="328" t="s">
        <v>35</v>
      </c>
      <c r="B16" s="329"/>
      <c r="C16" s="174">
        <f>SUM(C9:C15)</f>
        <v>0</v>
      </c>
      <c r="D16" s="174">
        <f t="shared" ref="D16:O16" si="0">SUM(D9:D15)</f>
        <v>0</v>
      </c>
      <c r="E16" s="174">
        <f t="shared" si="0"/>
        <v>0</v>
      </c>
      <c r="F16" s="174">
        <f t="shared" si="0"/>
        <v>0</v>
      </c>
      <c r="G16" s="174">
        <f t="shared" si="0"/>
        <v>0</v>
      </c>
      <c r="H16" s="174">
        <f t="shared" si="0"/>
        <v>0</v>
      </c>
      <c r="I16" s="174">
        <f t="shared" si="0"/>
        <v>0</v>
      </c>
      <c r="J16" s="174">
        <f t="shared" si="0"/>
        <v>2527</v>
      </c>
      <c r="K16" s="174">
        <f t="shared" si="0"/>
        <v>2230.11</v>
      </c>
      <c r="L16" s="174">
        <f t="shared" si="0"/>
        <v>2001</v>
      </c>
      <c r="M16" s="174">
        <f t="shared" si="0"/>
        <v>27002582000</v>
      </c>
      <c r="N16" s="174">
        <f t="shared" si="0"/>
        <v>11881136520</v>
      </c>
      <c r="O16" s="174" t="e">
        <f t="shared" si="0"/>
        <v>#DIV/0!</v>
      </c>
      <c r="P16" s="12"/>
      <c r="Q16" s="14"/>
    </row>
    <row r="17" spans="1:18" ht="13.5" x14ac:dyDescent="0.25">
      <c r="B17" s="40" t="s">
        <v>12</v>
      </c>
    </row>
    <row r="18" spans="1:18" ht="20.25" customHeight="1" x14ac:dyDescent="0.2">
      <c r="A18" s="199" t="s">
        <v>117</v>
      </c>
      <c r="B18" s="3" t="s">
        <v>136</v>
      </c>
      <c r="P18" s="15"/>
      <c r="Q18" s="11"/>
    </row>
    <row r="19" spans="1:18" ht="18.75" customHeight="1" x14ac:dyDescent="0.2">
      <c r="A19" s="200" t="s">
        <v>117</v>
      </c>
      <c r="B19" s="3" t="s">
        <v>140</v>
      </c>
    </row>
    <row r="21" spans="1:18" x14ac:dyDescent="0.2">
      <c r="R21" s="9"/>
    </row>
    <row r="24" spans="1:18" x14ac:dyDescent="0.2">
      <c r="R24" s="10"/>
    </row>
    <row r="25" spans="1:18" x14ac:dyDescent="0.2">
      <c r="P25" s="10"/>
    </row>
    <row r="26" spans="1:18" x14ac:dyDescent="0.2">
      <c r="P26" s="10"/>
    </row>
    <row r="29" spans="1:18" x14ac:dyDescent="0.2">
      <c r="R29" s="11"/>
    </row>
    <row r="30" spans="1:18" x14ac:dyDescent="0.2">
      <c r="R30" s="11"/>
    </row>
    <row r="31" spans="1:18" x14ac:dyDescent="0.2">
      <c r="R31" s="11"/>
    </row>
  </sheetData>
  <mergeCells count="8">
    <mergeCell ref="A16:B16"/>
    <mergeCell ref="P13:P15"/>
    <mergeCell ref="I6:O6"/>
    <mergeCell ref="P6:P7"/>
    <mergeCell ref="A6:A7"/>
    <mergeCell ref="B6:B7"/>
    <mergeCell ref="C6:C7"/>
    <mergeCell ref="D6:H6"/>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3"/>
  <sheetViews>
    <sheetView view="pageBreakPreview" topLeftCell="A4" zoomScale="85" zoomScaleNormal="100" zoomScaleSheetLayoutView="85" workbookViewId="0">
      <selection activeCell="A6" sqref="A6:J19"/>
    </sheetView>
  </sheetViews>
  <sheetFormatPr defaultColWidth="9.140625" defaultRowHeight="15" x14ac:dyDescent="0.25"/>
  <cols>
    <col min="1" max="1" width="9" style="39" customWidth="1"/>
    <col min="2" max="2" width="29.85546875" style="39" hidden="1" customWidth="1"/>
    <col min="3" max="3" width="21" style="28" customWidth="1"/>
    <col min="4" max="4" width="25.42578125" style="28" customWidth="1"/>
    <col min="5" max="5" width="0" style="28" hidden="1" customWidth="1"/>
    <col min="6" max="6" width="9.28515625" style="28" bestFit="1" customWidth="1"/>
    <col min="7" max="9" width="12.28515625" style="28" bestFit="1" customWidth="1"/>
    <col min="10" max="10" width="12.28515625" style="28" customWidth="1"/>
    <col min="11" max="11" width="17.5703125" style="28" hidden="1" customWidth="1"/>
    <col min="12" max="12" width="18.140625" style="28" hidden="1" customWidth="1"/>
    <col min="13" max="13" width="18" style="28" hidden="1" customWidth="1"/>
    <col min="14" max="14" width="14.5703125" style="28" hidden="1" customWidth="1"/>
    <col min="15" max="15" width="17.5703125" style="28" hidden="1" customWidth="1"/>
    <col min="16" max="16" width="14.140625" style="28" bestFit="1" customWidth="1"/>
    <col min="17" max="18" width="16.85546875" style="28" bestFit="1" customWidth="1"/>
    <col min="19" max="16384" width="9.140625" style="28"/>
  </cols>
  <sheetData>
    <row r="2" spans="1:18" ht="15.75" x14ac:dyDescent="0.25">
      <c r="A2" s="324" t="s">
        <v>8</v>
      </c>
      <c r="B2" s="324"/>
      <c r="C2" s="324"/>
      <c r="D2" s="324"/>
      <c r="E2" s="324"/>
    </row>
    <row r="4" spans="1:18" s="41" customFormat="1" ht="14.25" x14ac:dyDescent="0.2">
      <c r="A4" s="325" t="s">
        <v>120</v>
      </c>
      <c r="B4" s="325"/>
      <c r="C4" s="325"/>
      <c r="D4" s="325"/>
      <c r="E4" s="325"/>
      <c r="F4" s="325"/>
      <c r="G4" s="325"/>
      <c r="H4" s="325"/>
      <c r="I4" s="325"/>
      <c r="J4" s="325"/>
      <c r="K4" s="325"/>
      <c r="L4" s="325"/>
      <c r="M4" s="325"/>
      <c r="N4" s="44"/>
    </row>
    <row r="6" spans="1:18" ht="19.5" customHeight="1" x14ac:dyDescent="0.25">
      <c r="A6" s="326" t="s">
        <v>45</v>
      </c>
      <c r="B6" s="27"/>
      <c r="C6" s="326" t="s">
        <v>46</v>
      </c>
      <c r="D6" s="326" t="s">
        <v>47</v>
      </c>
      <c r="E6" s="326" t="s">
        <v>48</v>
      </c>
      <c r="F6" s="326" t="s">
        <v>31</v>
      </c>
      <c r="G6" s="326" t="s">
        <v>49</v>
      </c>
      <c r="H6" s="326"/>
      <c r="I6" s="326"/>
      <c r="J6" s="340" t="s">
        <v>12</v>
      </c>
      <c r="K6" s="319" t="s">
        <v>137</v>
      </c>
      <c r="L6" s="320"/>
      <c r="M6" s="321"/>
      <c r="N6" s="322" t="s">
        <v>129</v>
      </c>
      <c r="O6" s="322"/>
      <c r="P6" s="318"/>
    </row>
    <row r="7" spans="1:18" ht="58.5" customHeight="1" x14ac:dyDescent="0.25">
      <c r="A7" s="326"/>
      <c r="B7" s="27"/>
      <c r="C7" s="326"/>
      <c r="D7" s="326"/>
      <c r="E7" s="326"/>
      <c r="F7" s="326"/>
      <c r="G7" s="27" t="s">
        <v>50</v>
      </c>
      <c r="H7" s="27" t="s">
        <v>51</v>
      </c>
      <c r="I7" s="27" t="s">
        <v>52</v>
      </c>
      <c r="J7" s="341"/>
      <c r="K7" s="27" t="s">
        <v>126</v>
      </c>
      <c r="L7" s="27" t="s">
        <v>18</v>
      </c>
      <c r="M7" s="27" t="s">
        <v>125</v>
      </c>
      <c r="N7" s="27" t="s">
        <v>128</v>
      </c>
      <c r="O7" s="166" t="s">
        <v>127</v>
      </c>
      <c r="P7" s="318"/>
    </row>
    <row r="8" spans="1:18" ht="29.25" hidden="1" customHeight="1" x14ac:dyDescent="0.25">
      <c r="A8" s="319" t="s">
        <v>53</v>
      </c>
      <c r="B8" s="320"/>
      <c r="C8" s="320"/>
      <c r="D8" s="321"/>
      <c r="E8" s="27"/>
      <c r="F8" s="27"/>
      <c r="G8" s="29">
        <f>+G9+G12</f>
        <v>25646</v>
      </c>
      <c r="H8" s="29">
        <f t="shared" ref="H8:O8" si="0">+H9+H12</f>
        <v>18193.112637362639</v>
      </c>
      <c r="I8" s="29">
        <f t="shared" si="0"/>
        <v>16079.65</v>
      </c>
      <c r="J8" s="29"/>
      <c r="K8" s="29" t="e">
        <f t="shared" si="0"/>
        <v>#DIV/0!</v>
      </c>
      <c r="L8" s="29">
        <f t="shared" si="0"/>
        <v>2272472877.6857142</v>
      </c>
      <c r="M8" s="29" t="e">
        <f t="shared" si="0"/>
        <v>#DIV/0!</v>
      </c>
      <c r="N8" s="29">
        <f t="shared" si="0"/>
        <v>0</v>
      </c>
      <c r="O8" s="29" t="e">
        <f t="shared" si="0"/>
        <v>#DIV/0!</v>
      </c>
      <c r="Q8" s="201">
        <f>+I12-I9</f>
        <v>11356.449999999999</v>
      </c>
    </row>
    <row r="9" spans="1:18" ht="29.25" hidden="1" customHeight="1" x14ac:dyDescent="0.25">
      <c r="A9" s="45" t="s">
        <v>121</v>
      </c>
      <c r="B9" s="46"/>
      <c r="C9" s="46" t="s">
        <v>122</v>
      </c>
      <c r="D9" s="47"/>
      <c r="E9" s="47"/>
      <c r="F9" s="27"/>
      <c r="G9" s="29">
        <f>SUM(G10:G11)</f>
        <v>2180.5</v>
      </c>
      <c r="H9" s="29">
        <f t="shared" ref="H9:O9" si="1">SUM(H10:H11)</f>
        <v>2716.9</v>
      </c>
      <c r="I9" s="29">
        <f t="shared" si="1"/>
        <v>2361.6</v>
      </c>
      <c r="J9" s="29"/>
      <c r="K9" s="29">
        <f t="shared" si="1"/>
        <v>1156027574</v>
      </c>
      <c r="L9" s="29">
        <f t="shared" si="1"/>
        <v>567729942</v>
      </c>
      <c r="M9" s="29">
        <f t="shared" si="1"/>
        <v>588297632</v>
      </c>
      <c r="N9" s="29"/>
      <c r="O9" s="29">
        <f t="shared" si="1"/>
        <v>512925423</v>
      </c>
    </row>
    <row r="10" spans="1:18" s="37" customFormat="1" ht="69.75" hidden="1" customHeight="1" x14ac:dyDescent="0.25">
      <c r="A10" s="34">
        <v>1</v>
      </c>
      <c r="B10" s="203" t="s">
        <v>54</v>
      </c>
      <c r="C10" s="34" t="str">
        <f>VLOOKUP(B10,[2]TH!$B$2:$L$14,2,0)</f>
        <v>Số 66, đường Phan Đình Phùng, phường Thành Sen, tỉnh Hà Tĩnh</v>
      </c>
      <c r="D10" s="204" t="s">
        <v>39</v>
      </c>
      <c r="E10" s="205"/>
      <c r="F10" s="34">
        <v>2006</v>
      </c>
      <c r="G10" s="206">
        <v>633.79999999999995</v>
      </c>
      <c r="H10" s="206">
        <v>873.9</v>
      </c>
      <c r="I10" s="206">
        <v>747.4</v>
      </c>
      <c r="J10" s="206"/>
      <c r="K10" s="36">
        <f>+L10+M10</f>
        <v>374967206</v>
      </c>
      <c r="L10" s="177">
        <v>222463799.99999997</v>
      </c>
      <c r="M10" s="177">
        <v>152503406</v>
      </c>
      <c r="N10" s="35">
        <v>6</v>
      </c>
      <c r="O10" s="179">
        <f>+K10/12*N10</f>
        <v>187483603</v>
      </c>
      <c r="P10" s="38"/>
    </row>
    <row r="11" spans="1:18" s="37" customFormat="1" ht="69.75" hidden="1" customHeight="1" x14ac:dyDescent="0.25">
      <c r="A11" s="34">
        <v>2</v>
      </c>
      <c r="B11" s="203" t="s">
        <v>55</v>
      </c>
      <c r="C11" s="34" t="str">
        <f>VLOOKUP(B11,[2]TH!$B$2:$L$14,2,0)</f>
        <v>Số 02, đường Trần Phú, phường Thành Sen, tỉnh Hà Tĩnh</v>
      </c>
      <c r="D11" s="204" t="s">
        <v>40</v>
      </c>
      <c r="E11" s="205"/>
      <c r="F11" s="34">
        <v>2008</v>
      </c>
      <c r="G11" s="207">
        <v>1546.7</v>
      </c>
      <c r="H11" s="207">
        <v>1843</v>
      </c>
      <c r="I11" s="207">
        <v>1614.2</v>
      </c>
      <c r="J11" s="207"/>
      <c r="K11" s="36">
        <f>+L11+M11</f>
        <v>781060368</v>
      </c>
      <c r="L11" s="178">
        <v>345266142.00000006</v>
      </c>
      <c r="M11" s="178">
        <v>435794226</v>
      </c>
      <c r="N11" s="35">
        <v>5</v>
      </c>
      <c r="O11" s="179">
        <f t="shared" ref="O11:O19" si="2">+K11/12*N11</f>
        <v>325441820</v>
      </c>
      <c r="P11" s="38"/>
    </row>
    <row r="12" spans="1:18" s="164" customFormat="1" ht="22.5" customHeight="1" x14ac:dyDescent="0.25">
      <c r="A12" s="342" t="s">
        <v>53</v>
      </c>
      <c r="B12" s="343"/>
      <c r="C12" s="343"/>
      <c r="D12" s="344"/>
      <c r="E12" s="209"/>
      <c r="F12" s="208"/>
      <c r="G12" s="210">
        <f>SUM(G13:G19)</f>
        <v>23465.5</v>
      </c>
      <c r="H12" s="210">
        <f t="shared" ref="H12:R12" si="3">SUM(H13:H19)</f>
        <v>15476.212637362638</v>
      </c>
      <c r="I12" s="210">
        <f t="shared" si="3"/>
        <v>13718.05</v>
      </c>
      <c r="J12" s="210"/>
      <c r="K12" s="163" t="e">
        <f t="shared" si="3"/>
        <v>#DIV/0!</v>
      </c>
      <c r="L12" s="163">
        <f t="shared" si="3"/>
        <v>1704742935.6857142</v>
      </c>
      <c r="M12" s="163" t="e">
        <f t="shared" si="3"/>
        <v>#DIV/0!</v>
      </c>
      <c r="N12" s="163"/>
      <c r="O12" s="202" t="e">
        <f t="shared" si="3"/>
        <v>#DIV/0!</v>
      </c>
      <c r="P12" s="165"/>
      <c r="Q12" s="202">
        <f t="shared" si="3"/>
        <v>696404695.67857146</v>
      </c>
      <c r="R12" s="202" t="e">
        <f t="shared" si="3"/>
        <v>#DIV/0!</v>
      </c>
    </row>
    <row r="13" spans="1:18" s="37" customFormat="1" ht="69.75" customHeight="1" x14ac:dyDescent="0.25">
      <c r="A13" s="34">
        <v>1</v>
      </c>
      <c r="B13" s="203"/>
      <c r="C13" s="211" t="s">
        <v>144</v>
      </c>
      <c r="D13" s="211" t="s">
        <v>41</v>
      </c>
      <c r="E13" s="205"/>
      <c r="F13" s="34" t="s">
        <v>131</v>
      </c>
      <c r="G13" s="207">
        <v>1671.3000000000002</v>
      </c>
      <c r="H13" s="207">
        <v>2417.3626373626371</v>
      </c>
      <c r="I13" s="207">
        <v>2199.7999999999993</v>
      </c>
      <c r="J13" s="207"/>
      <c r="K13" s="36">
        <f t="shared" ref="K13:K19" si="4">+L13+M13</f>
        <v>424884252</v>
      </c>
      <c r="L13" s="42">
        <f>+'Phụ lục 02 Tiền Đất'!O9</f>
        <v>424884252</v>
      </c>
      <c r="M13" s="22">
        <f>+'Phụ lục 03 Tiền TS nhà'!O9</f>
        <v>0</v>
      </c>
      <c r="N13" s="35">
        <v>5</v>
      </c>
      <c r="O13" s="179">
        <f t="shared" si="2"/>
        <v>177035105</v>
      </c>
      <c r="P13" s="38"/>
      <c r="Q13" s="37">
        <f>+L13/12*N13</f>
        <v>177035105</v>
      </c>
      <c r="R13" s="37">
        <f>+M13/12*N13</f>
        <v>0</v>
      </c>
    </row>
    <row r="14" spans="1:18" s="37" customFormat="1" ht="69.75" customHeight="1" x14ac:dyDescent="0.25">
      <c r="A14" s="34">
        <v>2</v>
      </c>
      <c r="B14" s="203"/>
      <c r="C14" s="211" t="s">
        <v>108</v>
      </c>
      <c r="D14" s="211" t="s">
        <v>42</v>
      </c>
      <c r="E14" s="205"/>
      <c r="F14" s="34">
        <v>2001</v>
      </c>
      <c r="G14" s="207">
        <v>596.79999999999995</v>
      </c>
      <c r="H14" s="207">
        <v>646</v>
      </c>
      <c r="I14" s="207">
        <v>598.05999999999995</v>
      </c>
      <c r="J14" s="207"/>
      <c r="K14" s="36">
        <f t="shared" si="4"/>
        <v>111577697.39999999</v>
      </c>
      <c r="L14" s="42">
        <f>+'Phụ lục 02 Tiền Đất'!O12</f>
        <v>111577697.39999999</v>
      </c>
      <c r="M14" s="22">
        <f>+'Phụ lục 03 Tiền TS nhà'!O10</f>
        <v>0</v>
      </c>
      <c r="N14" s="35">
        <v>5</v>
      </c>
      <c r="O14" s="179">
        <f t="shared" si="2"/>
        <v>46490707.25</v>
      </c>
      <c r="P14" s="38"/>
      <c r="Q14" s="37">
        <f t="shared" ref="Q14:Q19" si="5">+L14/12*N14</f>
        <v>46490707.25</v>
      </c>
      <c r="R14" s="37">
        <f t="shared" ref="R14:R19" si="6">+M14/12*N14</f>
        <v>0</v>
      </c>
    </row>
    <row r="15" spans="1:18" s="37" customFormat="1" ht="69.75" customHeight="1" x14ac:dyDescent="0.25">
      <c r="A15" s="34">
        <v>3</v>
      </c>
      <c r="B15" s="203"/>
      <c r="C15" s="211" t="s">
        <v>62</v>
      </c>
      <c r="D15" s="212" t="s">
        <v>63</v>
      </c>
      <c r="E15" s="205"/>
      <c r="F15" s="34" t="s">
        <v>133</v>
      </c>
      <c r="G15" s="207">
        <v>2421.6</v>
      </c>
      <c r="H15" s="207">
        <v>2108</v>
      </c>
      <c r="I15" s="207">
        <v>1857.2</v>
      </c>
      <c r="J15" s="207"/>
      <c r="K15" s="36" t="e">
        <f t="shared" si="4"/>
        <v>#DIV/0!</v>
      </c>
      <c r="L15" s="42">
        <f>+'Phụ lục 02 Tiền Đất'!O14</f>
        <v>348402600</v>
      </c>
      <c r="M15" s="22" t="e">
        <f>+'Phụ lục 03 Tiền TS nhà'!O11</f>
        <v>#DIV/0!</v>
      </c>
      <c r="N15" s="35">
        <v>5</v>
      </c>
      <c r="O15" s="179" t="e">
        <f t="shared" si="2"/>
        <v>#DIV/0!</v>
      </c>
      <c r="P15" s="38"/>
      <c r="Q15" s="37">
        <f t="shared" si="5"/>
        <v>145167750</v>
      </c>
      <c r="R15" s="37" t="e">
        <f t="shared" si="6"/>
        <v>#DIV/0!</v>
      </c>
    </row>
    <row r="16" spans="1:18" s="37" customFormat="1" ht="69.75" customHeight="1" x14ac:dyDescent="0.25">
      <c r="A16" s="34">
        <v>4</v>
      </c>
      <c r="B16" s="203"/>
      <c r="C16" s="211" t="s">
        <v>64</v>
      </c>
      <c r="D16" s="212" t="s">
        <v>65</v>
      </c>
      <c r="E16" s="205"/>
      <c r="F16" s="34" t="s">
        <v>132</v>
      </c>
      <c r="G16" s="207">
        <v>3206.6</v>
      </c>
      <c r="H16" s="207">
        <v>3635.3500000000004</v>
      </c>
      <c r="I16" s="207">
        <v>3290</v>
      </c>
      <c r="J16" s="207"/>
      <c r="K16" s="36">
        <f t="shared" si="4"/>
        <v>653020056</v>
      </c>
      <c r="L16" s="42">
        <f>+'Phụ lục 02 Tiền Đất'!O17</f>
        <v>653020056</v>
      </c>
      <c r="M16" s="22">
        <f>+'Phụ lục 03 Tiền TS nhà'!O12</f>
        <v>0</v>
      </c>
      <c r="N16" s="35">
        <v>5</v>
      </c>
      <c r="O16" s="179">
        <f t="shared" si="2"/>
        <v>272091690</v>
      </c>
      <c r="P16" s="38"/>
      <c r="Q16" s="37">
        <f t="shared" si="5"/>
        <v>272091690</v>
      </c>
      <c r="R16" s="37">
        <f t="shared" si="6"/>
        <v>0</v>
      </c>
    </row>
    <row r="17" spans="1:18" s="37" customFormat="1" ht="69.75" customHeight="1" x14ac:dyDescent="0.25">
      <c r="A17" s="34">
        <v>5</v>
      </c>
      <c r="B17" s="203"/>
      <c r="C17" s="211" t="s">
        <v>66</v>
      </c>
      <c r="D17" s="212" t="s">
        <v>67</v>
      </c>
      <c r="E17" s="205"/>
      <c r="F17" s="34"/>
      <c r="G17" s="207">
        <v>2792.5</v>
      </c>
      <c r="H17" s="207">
        <v>1319.2</v>
      </c>
      <c r="I17" s="207">
        <v>1070.0799999999997</v>
      </c>
      <c r="J17" s="207"/>
      <c r="K17" s="36">
        <f t="shared" si="4"/>
        <v>16338036</v>
      </c>
      <c r="L17" s="42">
        <f>+'Phụ lục 02 Tiền Đất'!O21</f>
        <v>16338036</v>
      </c>
      <c r="M17" s="22">
        <f>+'Phụ lục 03 Tiền TS nhà'!O13</f>
        <v>0</v>
      </c>
      <c r="N17" s="35">
        <v>4</v>
      </c>
      <c r="O17" s="179">
        <f t="shared" si="2"/>
        <v>5446012</v>
      </c>
      <c r="P17" s="38"/>
      <c r="Q17" s="37">
        <f t="shared" si="5"/>
        <v>5446012</v>
      </c>
      <c r="R17" s="37">
        <f t="shared" si="6"/>
        <v>0</v>
      </c>
    </row>
    <row r="18" spans="1:18" s="37" customFormat="1" ht="69.75" customHeight="1" x14ac:dyDescent="0.25">
      <c r="A18" s="34">
        <v>6</v>
      </c>
      <c r="B18" s="203"/>
      <c r="C18" s="211" t="s">
        <v>113</v>
      </c>
      <c r="D18" s="212" t="s">
        <v>69</v>
      </c>
      <c r="E18" s="205"/>
      <c r="F18" s="34" t="s">
        <v>132</v>
      </c>
      <c r="G18" s="207">
        <v>4796.7</v>
      </c>
      <c r="H18" s="207">
        <v>2823.2999999999997</v>
      </c>
      <c r="I18" s="207">
        <v>2472.7999999999997</v>
      </c>
      <c r="J18" s="207"/>
      <c r="K18" s="36">
        <f t="shared" si="4"/>
        <v>88717294.285714269</v>
      </c>
      <c r="L18" s="42">
        <f>+'Phụ lục 02 Tiền Đất'!O24</f>
        <v>88717294.285714269</v>
      </c>
      <c r="M18" s="22">
        <f>+'Phụ lục 03 Tiền TS nhà'!O14</f>
        <v>0</v>
      </c>
      <c r="N18" s="35">
        <v>4</v>
      </c>
      <c r="O18" s="179">
        <f t="shared" si="2"/>
        <v>29572431.428571422</v>
      </c>
      <c r="P18" s="38"/>
      <c r="Q18" s="37">
        <f t="shared" si="5"/>
        <v>29572431.428571422</v>
      </c>
      <c r="R18" s="37">
        <f t="shared" si="6"/>
        <v>0</v>
      </c>
    </row>
    <row r="19" spans="1:18" s="37" customFormat="1" ht="69.75" customHeight="1" x14ac:dyDescent="0.25">
      <c r="A19" s="34">
        <v>7</v>
      </c>
      <c r="B19" s="203"/>
      <c r="C19" s="211" t="s">
        <v>114</v>
      </c>
      <c r="D19" s="212" t="s">
        <v>71</v>
      </c>
      <c r="E19" s="205"/>
      <c r="F19" s="34" t="s">
        <v>134</v>
      </c>
      <c r="G19" s="207">
        <v>7980</v>
      </c>
      <c r="H19" s="207">
        <v>2527</v>
      </c>
      <c r="I19" s="207">
        <v>2230.11</v>
      </c>
      <c r="J19" s="207"/>
      <c r="K19" s="36">
        <f t="shared" si="4"/>
        <v>173308500</v>
      </c>
      <c r="L19" s="42">
        <f>+'Phụ lục 02 Tiền Đất'!O27</f>
        <v>61803000</v>
      </c>
      <c r="M19" s="22">
        <f>+'Phụ lục 03 Tiền TS nhà'!O15</f>
        <v>111505500</v>
      </c>
      <c r="N19" s="35">
        <v>4</v>
      </c>
      <c r="O19" s="179">
        <f t="shared" si="2"/>
        <v>57769500</v>
      </c>
      <c r="P19" s="38"/>
      <c r="Q19" s="37">
        <f t="shared" si="5"/>
        <v>20601000</v>
      </c>
      <c r="R19" s="37">
        <f t="shared" si="6"/>
        <v>37168500</v>
      </c>
    </row>
    <row r="21" spans="1:18" x14ac:dyDescent="0.25">
      <c r="C21" s="43" t="s">
        <v>59</v>
      </c>
    </row>
    <row r="22" spans="1:18" s="197" customFormat="1" x14ac:dyDescent="0.25">
      <c r="A22" s="195"/>
      <c r="B22" s="195"/>
      <c r="C22" s="196" t="s">
        <v>60</v>
      </c>
    </row>
    <row r="23" spans="1:18" s="197" customFormat="1" ht="34.5" customHeight="1" x14ac:dyDescent="0.25">
      <c r="A23" s="195"/>
      <c r="B23" s="195"/>
      <c r="C23" s="323" t="s">
        <v>61</v>
      </c>
      <c r="D23" s="323"/>
      <c r="E23" s="323"/>
      <c r="F23" s="323"/>
      <c r="G23" s="323"/>
      <c r="H23" s="323"/>
      <c r="I23" s="323"/>
      <c r="J23" s="323"/>
      <c r="K23" s="323"/>
      <c r="L23" s="323"/>
      <c r="M23" s="323"/>
      <c r="N23" s="198"/>
    </row>
  </sheetData>
  <mergeCells count="15">
    <mergeCell ref="N6:O6"/>
    <mergeCell ref="P6:P7"/>
    <mergeCell ref="A8:D8"/>
    <mergeCell ref="C23:M23"/>
    <mergeCell ref="J6:J7"/>
    <mergeCell ref="A12:D12"/>
    <mergeCell ref="A2:E2"/>
    <mergeCell ref="A4:M4"/>
    <mergeCell ref="A6:A7"/>
    <mergeCell ref="C6:C7"/>
    <mergeCell ref="D6:D7"/>
    <mergeCell ref="E6:E7"/>
    <mergeCell ref="F6:F7"/>
    <mergeCell ref="G6:I6"/>
    <mergeCell ref="K6:M6"/>
  </mergeCells>
  <pageMargins left="0.70866141732283472" right="0.70866141732283472" top="0.74803149606299213" bottom="0.74803149606299213" header="0.31496062992125984" footer="0.31496062992125984"/>
  <pageSetup paperSize="9" scale="75" orientation="landscape" verticalDpi="0" r:id="rId1"/>
  <colBreaks count="1" manualBreakCount="1">
    <brk id="15" max="2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tabSelected="1" workbookViewId="0">
      <selection activeCell="K16" sqref="K16"/>
    </sheetView>
  </sheetViews>
  <sheetFormatPr defaultColWidth="9.140625" defaultRowHeight="15.75" x14ac:dyDescent="0.25"/>
  <cols>
    <col min="1" max="1" width="6.42578125" style="257" customWidth="1"/>
    <col min="2" max="2" width="48.5703125" style="257" customWidth="1"/>
    <col min="3" max="3" width="15" style="257" customWidth="1"/>
    <col min="4" max="4" width="13.28515625" style="257" customWidth="1"/>
    <col min="5" max="5" width="14.7109375" style="271" hidden="1" customWidth="1"/>
    <col min="6" max="6" width="15.85546875" style="272" hidden="1" customWidth="1"/>
    <col min="7" max="7" width="8.85546875" style="272" hidden="1" customWidth="1"/>
    <col min="8" max="8" width="14.85546875" style="273" hidden="1" customWidth="1"/>
    <col min="9" max="9" width="10.5703125" style="271" hidden="1" customWidth="1"/>
    <col min="10" max="10" width="18.28515625" style="274" customWidth="1"/>
    <col min="11" max="11" width="18.7109375" style="274" customWidth="1"/>
    <col min="12" max="12" width="16.140625" style="257" customWidth="1"/>
    <col min="13" max="13" width="20.5703125" style="257" customWidth="1"/>
    <col min="14" max="14" width="21.140625" style="257" customWidth="1"/>
    <col min="15" max="15" width="22" style="257" customWidth="1"/>
    <col min="16" max="16" width="20.85546875" style="258" hidden="1" customWidth="1"/>
    <col min="17" max="17" width="19" style="258" hidden="1" customWidth="1"/>
    <col min="18" max="18" width="20.5703125" style="258" hidden="1" customWidth="1"/>
    <col min="19" max="19" width="16" style="258" hidden="1" customWidth="1"/>
    <col min="20" max="20" width="8.7109375" style="257" hidden="1" customWidth="1"/>
    <col min="21" max="21" width="9.140625" style="257" hidden="1" customWidth="1"/>
    <col min="22" max="16384" width="9.140625" style="257"/>
  </cols>
  <sheetData>
    <row r="1" spans="1:21" ht="28.5" customHeight="1" x14ac:dyDescent="0.25">
      <c r="A1" s="348" t="s">
        <v>245</v>
      </c>
      <c r="B1" s="348"/>
      <c r="C1" s="348"/>
      <c r="D1" s="348"/>
      <c r="E1" s="348"/>
      <c r="F1" s="348"/>
      <c r="G1" s="348"/>
      <c r="H1" s="348"/>
      <c r="I1" s="348"/>
      <c r="J1" s="348"/>
      <c r="K1" s="348"/>
      <c r="L1" s="348"/>
      <c r="M1" s="348"/>
      <c r="N1" s="348"/>
    </row>
    <row r="2" spans="1:21" x14ac:dyDescent="0.25">
      <c r="A2" s="355" t="s">
        <v>246</v>
      </c>
      <c r="B2" s="355"/>
      <c r="C2" s="355"/>
      <c r="D2" s="355"/>
      <c r="E2" s="355"/>
      <c r="F2" s="355"/>
      <c r="G2" s="355"/>
      <c r="H2" s="355"/>
      <c r="I2" s="355"/>
      <c r="J2" s="355"/>
      <c r="K2" s="355"/>
      <c r="L2" s="355"/>
      <c r="M2" s="355"/>
      <c r="N2" s="355"/>
      <c r="O2" s="355"/>
    </row>
    <row r="3" spans="1:21" x14ac:dyDescent="0.25">
      <c r="A3" s="349" t="s">
        <v>234</v>
      </c>
      <c r="B3" s="349" t="s">
        <v>228</v>
      </c>
      <c r="C3" s="351" t="s">
        <v>235</v>
      </c>
      <c r="D3" s="351" t="s">
        <v>236</v>
      </c>
      <c r="E3" s="345" t="s">
        <v>223</v>
      </c>
      <c r="F3" s="259"/>
      <c r="G3" s="259"/>
      <c r="H3" s="259"/>
      <c r="I3" s="259"/>
      <c r="J3" s="353" t="s">
        <v>237</v>
      </c>
      <c r="K3" s="349" t="s">
        <v>238</v>
      </c>
      <c r="L3" s="345" t="s">
        <v>239</v>
      </c>
      <c r="M3" s="345" t="s">
        <v>240</v>
      </c>
      <c r="N3" s="345" t="s">
        <v>231</v>
      </c>
      <c r="O3" s="347" t="s">
        <v>12</v>
      </c>
    </row>
    <row r="4" spans="1:21" ht="78.75" x14ac:dyDescent="0.25">
      <c r="A4" s="350"/>
      <c r="B4" s="350"/>
      <c r="C4" s="352"/>
      <c r="D4" s="352"/>
      <c r="E4" s="346"/>
      <c r="F4" s="278" t="s">
        <v>224</v>
      </c>
      <c r="G4" s="278" t="s">
        <v>225</v>
      </c>
      <c r="H4" s="278" t="s">
        <v>226</v>
      </c>
      <c r="I4" s="278" t="s">
        <v>227</v>
      </c>
      <c r="J4" s="354"/>
      <c r="K4" s="350"/>
      <c r="L4" s="346"/>
      <c r="M4" s="346"/>
      <c r="N4" s="346"/>
      <c r="O4" s="347"/>
      <c r="P4" s="260" t="s">
        <v>229</v>
      </c>
      <c r="Q4" s="261" t="s">
        <v>116</v>
      </c>
      <c r="R4" s="261" t="s">
        <v>50</v>
      </c>
      <c r="S4" s="261" t="s">
        <v>230</v>
      </c>
    </row>
    <row r="5" spans="1:21" s="267" customFormat="1" ht="36.75" customHeight="1" x14ac:dyDescent="0.25">
      <c r="A5" s="262">
        <v>1</v>
      </c>
      <c r="B5" s="262">
        <v>2</v>
      </c>
      <c r="C5" s="262">
        <v>3</v>
      </c>
      <c r="D5" s="262">
        <v>4</v>
      </c>
      <c r="E5" s="262">
        <v>5</v>
      </c>
      <c r="F5" s="263">
        <v>7</v>
      </c>
      <c r="G5" s="263">
        <v>8</v>
      </c>
      <c r="H5" s="263">
        <v>9</v>
      </c>
      <c r="I5" s="264">
        <v>10</v>
      </c>
      <c r="J5" s="264">
        <v>5</v>
      </c>
      <c r="K5" s="264">
        <v>6</v>
      </c>
      <c r="L5" s="262">
        <v>7</v>
      </c>
      <c r="M5" s="264" t="s">
        <v>233</v>
      </c>
      <c r="N5" s="265" t="s">
        <v>232</v>
      </c>
      <c r="O5" s="262">
        <v>10</v>
      </c>
      <c r="P5" s="266"/>
      <c r="Q5" s="266"/>
      <c r="R5" s="266"/>
      <c r="S5" s="266"/>
    </row>
    <row r="6" spans="1:21" ht="50.25" customHeight="1" x14ac:dyDescent="0.25">
      <c r="A6" s="276">
        <v>1</v>
      </c>
      <c r="B6" s="277" t="s">
        <v>244</v>
      </c>
      <c r="C6" s="356" t="s">
        <v>248</v>
      </c>
      <c r="D6" s="356">
        <v>402</v>
      </c>
      <c r="E6" s="356"/>
      <c r="F6" s="357"/>
      <c r="G6" s="357"/>
      <c r="H6" s="358"/>
      <c r="I6" s="356"/>
      <c r="J6" s="356">
        <v>28.794</v>
      </c>
      <c r="K6" s="358" t="s">
        <v>247</v>
      </c>
      <c r="L6" s="359">
        <v>0.1</v>
      </c>
      <c r="M6" s="356" t="s">
        <v>242</v>
      </c>
      <c r="N6" s="358" t="s">
        <v>243</v>
      </c>
      <c r="O6" s="269" t="s">
        <v>241</v>
      </c>
      <c r="P6" s="261" t="e">
        <f>+N6/110*10</f>
        <v>#VALUE!</v>
      </c>
      <c r="Q6" s="261" t="str">
        <f>+K6</f>
        <v>97.227.500</v>
      </c>
      <c r="R6" s="261" t="e">
        <f t="shared" ref="R6" si="0">+J6*C6/D6*D6</f>
        <v>#VALUE!</v>
      </c>
      <c r="S6" s="261" t="e">
        <f>+N6-P6</f>
        <v>#VALUE!</v>
      </c>
      <c r="U6" s="270" t="e">
        <f>+J6*C6</f>
        <v>#VALUE!</v>
      </c>
    </row>
    <row r="7" spans="1:21" ht="33.75" customHeight="1" x14ac:dyDescent="0.25">
      <c r="A7" s="268"/>
      <c r="B7" s="275" t="s">
        <v>53</v>
      </c>
      <c r="C7" s="279" t="str">
        <f>C6</f>
        <v>1,610,5</v>
      </c>
      <c r="D7" s="279">
        <v>402</v>
      </c>
      <c r="E7" s="279"/>
      <c r="F7" s="280"/>
      <c r="G7" s="280"/>
      <c r="H7" s="281"/>
      <c r="I7" s="279"/>
      <c r="J7" s="279">
        <v>28.794</v>
      </c>
      <c r="K7" s="281" t="s">
        <v>247</v>
      </c>
      <c r="L7" s="279"/>
      <c r="M7" s="279" t="s">
        <v>242</v>
      </c>
      <c r="N7" s="281" t="s">
        <v>243</v>
      </c>
      <c r="O7" s="279"/>
    </row>
  </sheetData>
  <mergeCells count="13">
    <mergeCell ref="N3:N4"/>
    <mergeCell ref="O3:O4"/>
    <mergeCell ref="A1:N1"/>
    <mergeCell ref="A3:A4"/>
    <mergeCell ref="B3:B4"/>
    <mergeCell ref="C3:C4"/>
    <mergeCell ref="D3:D4"/>
    <mergeCell ref="E3:E4"/>
    <mergeCell ref="J3:J4"/>
    <mergeCell ref="K3:K4"/>
    <mergeCell ref="L3:L4"/>
    <mergeCell ref="M3:M4"/>
    <mergeCell ref="A2:O2"/>
  </mergeCells>
  <conditionalFormatting sqref="A3">
    <cfRule type="expression" dxfId="0" priority="1">
      <formula>CELL("bold",#REF!)</formula>
    </cfRule>
  </conditionalFormatting>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5" sqref="L15"/>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PL khai thác</vt:lpstr>
      <vt:lpstr>PL quyết định</vt:lpstr>
      <vt:lpstr>cập nhật giá trị QSDĐ</vt:lpstr>
      <vt:lpstr>PL Kế hoạch</vt:lpstr>
      <vt:lpstr>Phụ lục 02 Tiền Đất</vt:lpstr>
      <vt:lpstr>Phụ lục 03 Tiền TS nhà</vt:lpstr>
      <vt:lpstr>PL Kế hoạch (2)</vt:lpstr>
      <vt:lpstr>Sheet1</vt:lpstr>
      <vt:lpstr>Don gia TS</vt:lpstr>
      <vt:lpstr>'cập nhật giá trị QSDĐ'!Print_Area</vt:lpstr>
      <vt:lpstr>'Phụ lục 02 Tiền Đất'!Print_Area</vt:lpstr>
      <vt:lpstr>'Phụ lục 03 Tiền TS nhà'!Print_Area</vt:lpstr>
      <vt:lpstr>'PL Kế hoạch'!Print_Area</vt:lpstr>
      <vt:lpstr>'PL Kế hoạch (2)'!Print_Area</vt:lpstr>
      <vt:lpstr>'PL khai thác'!Print_Area</vt:lpstr>
      <vt:lpstr>'PL quyết định'!Print_Area</vt:lpstr>
      <vt:lpstr>'PL Kế hoạch'!Print_Titles</vt:lpstr>
      <vt:lpstr>'PL Kế hoạch (2)'!Print_Titles</vt:lpstr>
      <vt:lpstr>'PL khai thác'!Print_Titles</vt:lpstr>
      <vt:lpstr>'PL quyết định'!Print_Titles</vt:lpstr>
      <vt:lpstr>'PL khai thác'!tc_22</vt:lpstr>
      <vt:lpstr>'PL quyết định'!tc_22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Võ Tá Tĩnh</dc:creator>
  <cp:lastModifiedBy>Thanh Cong</cp:lastModifiedBy>
  <cp:lastPrinted>2026-07-22T00:58:44Z</cp:lastPrinted>
  <dcterms:created xsi:type="dcterms:W3CDTF">2015-06-05T18:17:20Z</dcterms:created>
  <dcterms:modified xsi:type="dcterms:W3CDTF">2026-07-23T02:44:02Z</dcterms:modified>
</cp:coreProperties>
</file>